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00" windowHeight="11745" activeTab="3"/>
  </bookViews>
  <sheets>
    <sheet name="Berechnung" sheetId="1" r:id="rId1"/>
    <sheet name="Türkei-Ezgi" sheetId="7" r:id="rId2"/>
    <sheet name="Baglama" sheetId="5" r:id="rId3"/>
    <sheet name="dere geliyor" sheetId="6" r:id="rId4"/>
    <sheet name="BenimGözüm" sheetId="2" r:id="rId5"/>
    <sheet name="Arabisch" sheetId="4" r:id="rId6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  <c r="Q12" i="6"/>
  <c r="Q8"/>
  <c r="Q9"/>
  <c r="Q10"/>
  <c r="Q11"/>
  <c r="Q7"/>
  <c r="N12"/>
  <c r="N8"/>
  <c r="N9"/>
  <c r="N10"/>
  <c r="N11"/>
  <c r="N7"/>
  <c r="R6" i="5"/>
  <c r="R7"/>
  <c r="R8"/>
  <c r="R9"/>
  <c r="R10"/>
  <c r="R11"/>
  <c r="R12"/>
  <c r="R13"/>
  <c r="R14"/>
  <c r="R15"/>
  <c r="R16"/>
  <c r="R17"/>
  <c r="R18"/>
  <c r="R19"/>
  <c r="R20"/>
  <c r="R21"/>
  <c r="R5"/>
  <c r="Q20"/>
  <c r="Q16"/>
  <c r="Q13"/>
  <c r="Q21"/>
  <c r="Q19"/>
  <c r="Q18"/>
  <c r="Q17"/>
  <c r="Q15"/>
  <c r="Q14"/>
  <c r="Q12"/>
  <c r="Q11"/>
  <c r="Q10"/>
  <c r="Q9"/>
  <c r="Q8"/>
  <c r="Q6"/>
  <c r="Q7"/>
  <c r="Q5"/>
  <c r="M22"/>
  <c r="L22"/>
  <c r="M21"/>
  <c r="N21" s="1"/>
  <c r="O21" s="1"/>
  <c r="L21"/>
  <c r="I21"/>
  <c r="D21"/>
  <c r="E21" s="1"/>
  <c r="C21"/>
  <c r="M20"/>
  <c r="N20" s="1"/>
  <c r="O20" s="1"/>
  <c r="L20"/>
  <c r="I20"/>
  <c r="D20"/>
  <c r="E20" s="1"/>
  <c r="C20"/>
  <c r="M19"/>
  <c r="N19" s="1"/>
  <c r="O19" s="1"/>
  <c r="L19"/>
  <c r="I19"/>
  <c r="D19"/>
  <c r="E19" s="1"/>
  <c r="C19"/>
  <c r="M18"/>
  <c r="N18" s="1"/>
  <c r="O18" s="1"/>
  <c r="L18"/>
  <c r="I18"/>
  <c r="D18"/>
  <c r="E18" s="1"/>
  <c r="C18"/>
  <c r="M17"/>
  <c r="N17" s="1"/>
  <c r="O17" s="1"/>
  <c r="L17"/>
  <c r="I17"/>
  <c r="D17"/>
  <c r="E17" s="1"/>
  <c r="C17"/>
  <c r="M16"/>
  <c r="N16" s="1"/>
  <c r="O16" s="1"/>
  <c r="L16"/>
  <c r="I16"/>
  <c r="D16"/>
  <c r="E16" s="1"/>
  <c r="C16"/>
  <c r="M15"/>
  <c r="N15" s="1"/>
  <c r="O15" s="1"/>
  <c r="L15"/>
  <c r="I15"/>
  <c r="D15"/>
  <c r="E15" s="1"/>
  <c r="C15"/>
  <c r="M14"/>
  <c r="N14" s="1"/>
  <c r="O14" s="1"/>
  <c r="L14"/>
  <c r="I14"/>
  <c r="D14"/>
  <c r="E14" s="1"/>
  <c r="C14"/>
  <c r="M13"/>
  <c r="N13" s="1"/>
  <c r="O13" s="1"/>
  <c r="L13"/>
  <c r="I13"/>
  <c r="D13"/>
  <c r="E13" s="1"/>
  <c r="C13"/>
  <c r="M12"/>
  <c r="N12" s="1"/>
  <c r="O12" s="1"/>
  <c r="L12"/>
  <c r="I12"/>
  <c r="H12"/>
  <c r="E12"/>
  <c r="D12"/>
  <c r="C12"/>
  <c r="M11"/>
  <c r="N11" s="1"/>
  <c r="O11" s="1"/>
  <c r="L11"/>
  <c r="I11"/>
  <c r="E11"/>
  <c r="D11"/>
  <c r="C11"/>
  <c r="M10"/>
  <c r="N10" s="1"/>
  <c r="O10" s="1"/>
  <c r="L10"/>
  <c r="I10"/>
  <c r="E10"/>
  <c r="D10"/>
  <c r="C10"/>
  <c r="M9"/>
  <c r="N9" s="1"/>
  <c r="O9" s="1"/>
  <c r="L9"/>
  <c r="I9"/>
  <c r="E9"/>
  <c r="D9"/>
  <c r="C9"/>
  <c r="M8"/>
  <c r="N8" s="1"/>
  <c r="O8" s="1"/>
  <c r="L8"/>
  <c r="I8"/>
  <c r="E8"/>
  <c r="D8"/>
  <c r="C8"/>
  <c r="M7"/>
  <c r="N7" s="1"/>
  <c r="O7" s="1"/>
  <c r="L7"/>
  <c r="I7"/>
  <c r="E7"/>
  <c r="D7"/>
  <c r="C7"/>
  <c r="M6"/>
  <c r="N6" s="1"/>
  <c r="O6" s="1"/>
  <c r="L6"/>
  <c r="I6"/>
  <c r="E6"/>
  <c r="D6"/>
  <c r="C6"/>
  <c r="M5"/>
  <c r="N5" s="1"/>
  <c r="O5" s="1"/>
  <c r="L5"/>
  <c r="I5"/>
  <c r="E5"/>
  <c r="E22" s="1"/>
  <c r="D5"/>
  <c r="C5"/>
  <c r="C22" s="1"/>
  <c r="M4"/>
  <c r="N4" s="1"/>
  <c r="O4" s="1"/>
  <c r="L4"/>
  <c r="G10" i="1"/>
  <c r="G9"/>
  <c r="Q8" i="7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7"/>
  <c r="C38" i="6"/>
  <c r="C11"/>
  <c r="C10"/>
  <c r="C9"/>
  <c r="C8"/>
  <c r="C7"/>
  <c r="C6"/>
  <c r="Q6" i="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7"/>
  <c r="N3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7"/>
  <c r="K7" i="1"/>
  <c r="E17" i="7"/>
  <c r="E16" s="1"/>
  <c r="E15" s="1"/>
  <c r="E14" s="1"/>
  <c r="E13" s="1"/>
  <c r="E12" s="1"/>
  <c r="E11" s="1"/>
  <c r="E10" s="1"/>
  <c r="E9" s="1"/>
  <c r="E8" s="1"/>
  <c r="E7" s="1"/>
  <c r="E6" s="1"/>
  <c r="E19"/>
  <c r="E20" s="1"/>
  <c r="E21" s="1"/>
  <c r="E22" s="1"/>
  <c r="E23" s="1"/>
  <c r="E24" s="1"/>
  <c r="E25" s="1"/>
  <c r="E26" s="1"/>
  <c r="E27" s="1"/>
  <c r="E28" s="1"/>
  <c r="E29" s="1"/>
  <c r="E30" s="1"/>
  <c r="C19"/>
  <c r="C20" s="1"/>
  <c r="C21" s="1"/>
  <c r="C22" s="1"/>
  <c r="C23" s="1"/>
  <c r="C24" s="1"/>
  <c r="C25" s="1"/>
  <c r="C26" s="1"/>
  <c r="C27" s="1"/>
  <c r="C28" s="1"/>
  <c r="C29" s="1"/>
  <c r="C30" s="1"/>
  <c r="C17"/>
  <c r="C16" s="1"/>
  <c r="C15" s="1"/>
  <c r="C14" s="1"/>
  <c r="C13" s="1"/>
  <c r="C12" s="1"/>
  <c r="C11" s="1"/>
  <c r="C10" s="1"/>
  <c r="C9" s="1"/>
  <c r="C8" s="1"/>
  <c r="C7" s="1"/>
  <c r="C6" s="1"/>
  <c r="M6" i="2" l="1"/>
  <c r="M7"/>
  <c r="M8"/>
  <c r="M9"/>
  <c r="M5"/>
  <c r="J5"/>
  <c r="J6"/>
  <c r="J7"/>
  <c r="J8"/>
  <c r="J9"/>
  <c r="G7" i="1"/>
  <c r="K6" i="2"/>
  <c r="K7"/>
  <c r="K8"/>
  <c r="K9"/>
  <c r="K5"/>
  <c r="G5"/>
  <c r="G6"/>
  <c r="G7"/>
  <c r="G8"/>
  <c r="G9"/>
  <c r="G4"/>
  <c r="F5"/>
  <c r="F6"/>
  <c r="F7"/>
  <c r="F8"/>
  <c r="F9"/>
  <c r="F4"/>
  <c r="C9"/>
  <c r="C8"/>
  <c r="D51" i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10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9"/>
  <c r="G6"/>
  <c r="O6"/>
  <c r="N6"/>
  <c r="O16"/>
  <c r="O17"/>
  <c r="O18"/>
  <c r="O19"/>
  <c r="N16"/>
  <c r="N17"/>
  <c r="N18"/>
  <c r="N19"/>
  <c r="N15"/>
  <c r="O15" s="1"/>
  <c r="N14"/>
  <c r="O14" s="1"/>
  <c r="N13"/>
  <c r="O13" s="1"/>
  <c r="N12"/>
  <c r="O12" s="1"/>
  <c r="O7"/>
  <c r="N7"/>
  <c r="N8"/>
  <c r="O8" s="1"/>
  <c r="N9"/>
  <c r="O9" s="1"/>
  <c r="N10"/>
  <c r="O10" s="1"/>
  <c r="N11"/>
  <c r="O11" s="1"/>
  <c r="K8" l="1"/>
  <c r="K9"/>
  <c r="K10"/>
  <c r="K11"/>
  <c r="K6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</calcChain>
</file>

<file path=xl/sharedStrings.xml><?xml version="1.0" encoding="utf-8"?>
<sst xmlns="http://schemas.openxmlformats.org/spreadsheetml/2006/main" count="640" uniqueCount="288">
  <si>
    <t>A3</t>
  </si>
  <si>
    <t>Hz</t>
  </si>
  <si>
    <t>A2</t>
  </si>
  <si>
    <t>A1</t>
  </si>
  <si>
    <t>A4</t>
  </si>
  <si>
    <t>A5</t>
  </si>
  <si>
    <t>A6</t>
  </si>
  <si>
    <t>Taste</t>
  </si>
  <si>
    <t>B</t>
  </si>
  <si>
    <t>H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</si>
  <si>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</si>
  <si>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</si>
  <si>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</si>
  <si>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</si>
  <si>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</si>
  <si>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</si>
  <si>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</si>
  <si>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</si>
  <si>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</si>
  <si>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Cent</t>
  </si>
  <si>
    <t>frqu1</t>
  </si>
  <si>
    <t>frqu2</t>
  </si>
  <si>
    <t>MSB</t>
  </si>
  <si>
    <t>LSB</t>
  </si>
  <si>
    <t>C1</t>
  </si>
  <si>
    <t>C2</t>
  </si>
  <si>
    <t>A7</t>
  </si>
  <si>
    <t>C7</t>
  </si>
  <si>
    <t>C3</t>
  </si>
  <si>
    <t>C4</t>
  </si>
  <si>
    <t>C5</t>
  </si>
  <si>
    <t>C6</t>
  </si>
  <si>
    <t>Berechnungen: Intervalle in Hz, Cent und Pitchbend</t>
  </si>
  <si>
    <t>Block 1</t>
  </si>
  <si>
    <t>Block2</t>
  </si>
  <si>
    <t>Block3</t>
  </si>
  <si>
    <t>TN</t>
  </si>
  <si>
    <t>b</t>
  </si>
  <si>
    <t>a</t>
  </si>
  <si>
    <t>g</t>
  </si>
  <si>
    <t>fis</t>
  </si>
  <si>
    <t>e</t>
  </si>
  <si>
    <t>d</t>
  </si>
  <si>
    <t>nach Tonhöhe</t>
  </si>
  <si>
    <t>oktaviert</t>
  </si>
  <si>
    <t>nächster Ton</t>
  </si>
  <si>
    <t>D#3</t>
  </si>
  <si>
    <t>C#3</t>
  </si>
  <si>
    <t>H2</t>
  </si>
  <si>
    <t>B2</t>
  </si>
  <si>
    <t>F# 2</t>
  </si>
  <si>
    <t>bei Grundton F#2</t>
  </si>
  <si>
    <t>Messung:</t>
  </si>
  <si>
    <t>Intervall:</t>
  </si>
  <si>
    <t>Tastatur:</t>
  </si>
  <si>
    <t>Transposition:</t>
  </si>
  <si>
    <t>a / b+</t>
  </si>
  <si>
    <t>g / a</t>
  </si>
  <si>
    <t>f# / g</t>
  </si>
  <si>
    <t xml:space="preserve"> d / e</t>
  </si>
  <si>
    <t>e / f#</t>
  </si>
  <si>
    <t>absolut</t>
  </si>
  <si>
    <t>Erstes Sample nach Frequenzanalyse</t>
  </si>
  <si>
    <t>ganz</t>
  </si>
  <si>
    <t>erstes Drittel</t>
  </si>
  <si>
    <t>zweites Drittel</t>
  </si>
  <si>
    <t>drittes Drittel</t>
  </si>
  <si>
    <t>Gehör</t>
  </si>
  <si>
    <t>Tonhöhenmessung in Audacity über Menue Effekt/Tonhöhe ändern</t>
  </si>
  <si>
    <t>Frequenzanalyse in Audacity über Menue Analyse/Frequenzanalyse</t>
  </si>
  <si>
    <t>"Nach Gehör": Loop herstellen und mit Sinustongenerator vergleichen</t>
  </si>
  <si>
    <t>Benim Gözüm</t>
  </si>
  <si>
    <t>(Hz)</t>
  </si>
  <si>
    <t>**)</t>
  </si>
  <si>
    <t>**) Tonhöhenbezeichnung nach dem Notenbeispiel.</t>
  </si>
  <si>
    <t>D2</t>
  </si>
  <si>
    <t>F2</t>
  </si>
  <si>
    <t>F#2</t>
  </si>
  <si>
    <t>G2</t>
  </si>
  <si>
    <t>c</t>
  </si>
  <si>
    <t>h</t>
  </si>
  <si>
    <t>1zu1</t>
  </si>
  <si>
    <t>9zu8</t>
  </si>
  <si>
    <t>Limma</t>
  </si>
  <si>
    <t>Intervall</t>
  </si>
  <si>
    <t>CENT</t>
  </si>
  <si>
    <t>Verhältnis</t>
  </si>
  <si>
    <t>b-</t>
  </si>
  <si>
    <t>Risala fi l-musiqi (ca. 900)</t>
  </si>
  <si>
    <t>f</t>
  </si>
  <si>
    <t>Limma= 256:243</t>
  </si>
  <si>
    <t>32zu27</t>
  </si>
  <si>
    <t>??</t>
  </si>
  <si>
    <t>al Farabi (870-950)</t>
  </si>
  <si>
    <t>Name</t>
  </si>
  <si>
    <t>Fingerbezeichnung</t>
  </si>
  <si>
    <t>Centabw.</t>
  </si>
  <si>
    <t>Ab</t>
  </si>
  <si>
    <t>A+</t>
  </si>
  <si>
    <t>Bb</t>
  </si>
  <si>
    <t>Bb+</t>
  </si>
  <si>
    <t>Bb++</t>
  </si>
  <si>
    <t>C</t>
  </si>
  <si>
    <t>leere Saite</t>
  </si>
  <si>
    <t>Nachbar des Zfgs</t>
  </si>
  <si>
    <t>Zfg</t>
  </si>
  <si>
    <t>Alter Mfg</t>
  </si>
  <si>
    <t>Mfg</t>
  </si>
  <si>
    <t>Persischer Mfg</t>
  </si>
  <si>
    <t>Mfg des Zazal</t>
  </si>
  <si>
    <t>Rfg</t>
  </si>
  <si>
    <t>Kfg</t>
  </si>
  <si>
    <t>8zu7</t>
  </si>
  <si>
    <t>81zu68</t>
  </si>
  <si>
    <t>27zu22</t>
  </si>
  <si>
    <t>81zu64</t>
  </si>
  <si>
    <t>4zu3</t>
  </si>
  <si>
    <t>As</t>
  </si>
  <si>
    <t>zur leeren Saite gerechnet</t>
  </si>
  <si>
    <t>lydisch</t>
  </si>
  <si>
    <t>Zazal</t>
  </si>
  <si>
    <t>alt</t>
  </si>
  <si>
    <t>persisch</t>
  </si>
  <si>
    <t>Die beliebtesten Tongeschlechter (Tetrachorde):</t>
  </si>
  <si>
    <t>Safi ad-Din (1230-1294)</t>
  </si>
  <si>
    <t>untereinander</t>
  </si>
  <si>
    <t>insg.</t>
  </si>
  <si>
    <t>ACHTUNG englische Schreibweise: B ist unser H 8und Bb ist unser B!</t>
  </si>
  <si>
    <t>Bundname</t>
  </si>
  <si>
    <t>multaq</t>
  </si>
  <si>
    <t>zaid</t>
  </si>
  <si>
    <t>muganab</t>
  </si>
  <si>
    <t>sabbaba</t>
  </si>
  <si>
    <t>wusta</t>
  </si>
  <si>
    <t>hinsir</t>
  </si>
  <si>
    <t>2Limmata</t>
  </si>
  <si>
    <t>zalzal</t>
  </si>
  <si>
    <t>binsir</t>
  </si>
  <si>
    <t>8192zu6561</t>
  </si>
  <si>
    <t>grün: gegenüber Risala "Verdopplung der Bünde"</t>
  </si>
  <si>
    <t>Abstand zu unten</t>
  </si>
  <si>
    <t>Saitenlänge</t>
  </si>
  <si>
    <t xml:space="preserve">Frqu </t>
  </si>
  <si>
    <t>Bund</t>
  </si>
  <si>
    <t>Tonname</t>
  </si>
  <si>
    <t>Bundabstand</t>
  </si>
  <si>
    <t>in Cent</t>
  </si>
  <si>
    <t>Abweichung</t>
  </si>
  <si>
    <t>c+</t>
  </si>
  <si>
    <t>cis</t>
  </si>
  <si>
    <t>es</t>
  </si>
  <si>
    <t>es-</t>
  </si>
  <si>
    <t>f+</t>
  </si>
  <si>
    <t>gis</t>
  </si>
  <si>
    <t>gis+</t>
  </si>
  <si>
    <t>halbe L</t>
  </si>
  <si>
    <t>"Dere Geliyor Dere"</t>
  </si>
  <si>
    <t>3zu2</t>
  </si>
  <si>
    <t>32zu27 ist 9:8 plus Limma</t>
  </si>
  <si>
    <t>?? Heißt 9:8 minus Limma</t>
  </si>
  <si>
    <t>Int</t>
  </si>
  <si>
    <t>Frequenz</t>
  </si>
  <si>
    <t>oktv</t>
  </si>
  <si>
    <t>Nr.</t>
  </si>
  <si>
    <t>Quintreihe</t>
  </si>
  <si>
    <t>Ton</t>
  </si>
  <si>
    <t>Eses(-3)</t>
  </si>
  <si>
    <t>Bb(-3)</t>
  </si>
  <si>
    <t>Fes(-2)</t>
  </si>
  <si>
    <t>Ces (-2)</t>
  </si>
  <si>
    <t>Ges(-1)</t>
  </si>
  <si>
    <t>Des0</t>
  </si>
  <si>
    <t>As0</t>
  </si>
  <si>
    <t>Es1</t>
  </si>
  <si>
    <t>B1</t>
  </si>
  <si>
    <t>G3</t>
  </si>
  <si>
    <t>D4</t>
  </si>
  <si>
    <t>E5</t>
  </si>
  <si>
    <t>H5</t>
  </si>
  <si>
    <t>F#6</t>
  </si>
  <si>
    <t>C#7</t>
  </si>
  <si>
    <t>G#7</t>
  </si>
  <si>
    <t>D#8</t>
  </si>
  <si>
    <t>A#8</t>
  </si>
  <si>
    <t>Theorie von Ezgi (1933)</t>
  </si>
  <si>
    <t>Dees(-4)</t>
  </si>
  <si>
    <t>Asas(-4)</t>
  </si>
  <si>
    <t>E#9</t>
  </si>
  <si>
    <t>H#9</t>
  </si>
  <si>
    <t>Der erweiterte pythagoreische Quintenzirkel:</t>
  </si>
  <si>
    <t>der Reihe nach geordnet:</t>
  </si>
  <si>
    <t>27zu16</t>
  </si>
  <si>
    <t>16zu9</t>
  </si>
  <si>
    <t>2zu1</t>
  </si>
  <si>
    <t>Intv.</t>
  </si>
  <si>
    <t>D-24</t>
  </si>
  <si>
    <t>D-90</t>
  </si>
  <si>
    <t>D-114</t>
  </si>
  <si>
    <t>C+24</t>
  </si>
  <si>
    <t>C+90</t>
  </si>
  <si>
    <t>C+114</t>
  </si>
  <si>
    <t>D+90</t>
  </si>
  <si>
    <t>D+114</t>
  </si>
  <si>
    <t>E-24</t>
  </si>
  <si>
    <t>E-90</t>
  </si>
  <si>
    <t>E-114</t>
  </si>
  <si>
    <t>F+24</t>
  </si>
  <si>
    <t>F+90</t>
  </si>
  <si>
    <t>F+114</t>
  </si>
  <si>
    <t>F-90</t>
  </si>
  <si>
    <t>F-114</t>
  </si>
  <si>
    <t>G-24</t>
  </si>
  <si>
    <t>G-90</t>
  </si>
  <si>
    <t>G-114</t>
  </si>
  <si>
    <t>G+90</t>
  </si>
  <si>
    <t>G+114</t>
  </si>
  <si>
    <t>A-24</t>
  </si>
  <si>
    <t>A-90</t>
  </si>
  <si>
    <t>A-114</t>
  </si>
  <si>
    <t>A+90</t>
  </si>
  <si>
    <t>A+114</t>
  </si>
  <si>
    <t>B-90</t>
  </si>
  <si>
    <t>B-114</t>
  </si>
  <si>
    <t>B+24</t>
  </si>
  <si>
    <t>B+90</t>
  </si>
  <si>
    <t>B+114</t>
  </si>
  <si>
    <t>C-24</t>
  </si>
  <si>
    <t>C-90</t>
  </si>
  <si>
    <t>C-114</t>
  </si>
  <si>
    <t>Noten:</t>
  </si>
  <si>
    <t>E+90</t>
  </si>
  <si>
    <t>E+114</t>
  </si>
  <si>
    <t>temp.</t>
  </si>
  <si>
    <t>Nach Ezgi kommen für "dere geliyor" nur diese Tonstufen in Frage:</t>
  </si>
  <si>
    <t>Verstimmung</t>
  </si>
  <si>
    <t>Temp.</t>
  </si>
  <si>
    <t>Skala 1</t>
  </si>
  <si>
    <t>Skala 2</t>
  </si>
  <si>
    <t>Skala 3</t>
  </si>
  <si>
    <t>Skala 4</t>
  </si>
  <si>
    <t>oder D#+18</t>
  </si>
  <si>
    <t>Kürdi (phrygisch)</t>
  </si>
  <si>
    <t>Nihavent (aeolisch)</t>
  </si>
  <si>
    <t>Hicazkar (mit um 24 erniedrigtem F!)</t>
  </si>
  <si>
    <t>Ezgi-Abweichung</t>
  </si>
  <si>
    <t>(meine) Saz-Stimmung: 4 (temperiert) chromatische Intervalle werden temperiert "halbiert"</t>
  </si>
  <si>
    <t>in cm</t>
  </si>
  <si>
    <t>Bemerkung: im linke Teil sind die Bundabstände, also die empirisch ermittelten Intervalle dargestellt, Theoretisch müssten es 100 und 50 Cent sein!</t>
  </si>
  <si>
    <t>In der Mitte (grün) sind die Messungen der Samples in Audacity aufgeführt (könnte auch über ein Stimmgerät gehen).</t>
  </si>
  <si>
    <t>Rechts werden die Saitenlängen empirisch ermittelt. Daraus kann man (ausgehend von einer Frequenz des Grundtons) ebenfalls die Tonhöhen berechnen.</t>
  </si>
  <si>
    <t>Zur Probe werden die errechneten Werte den gemessenen gegenüber gestellt (letzte Spalte - und die Diagramme unten).</t>
  </si>
  <si>
    <t>temperiert wäre:</t>
  </si>
  <si>
    <t>Es-</t>
  </si>
  <si>
    <t>E - 50</t>
  </si>
  <si>
    <t>b²</t>
  </si>
  <si>
    <t>Ussak (aeolisch)</t>
  </si>
  <si>
    <t>Abstand zwischen den Bünden in cm</t>
  </si>
  <si>
    <t>Temp. Skala</t>
  </si>
  <si>
    <t xml:space="preserve">Ganz rechts wurden die temperierten Tonschritte errechnet: 12. Wurzel aus 2 für den Halb- und 24. Wurzel aus 2 für den Vierteltonschritt. </t>
  </si>
  <si>
    <t>temp. Frqu</t>
  </si>
  <si>
    <t>Saitenlängen</t>
  </si>
  <si>
    <t>genau</t>
  </si>
  <si>
    <t>Audacity grob</t>
  </si>
  <si>
    <t>Messung 2 (Hz)</t>
  </si>
  <si>
    <t>Messung 1 (Hz)</t>
  </si>
  <si>
    <t xml:space="preserve">ACHTUNG! "Meine Saz" ist größer als die "normale" Saz, die Tonhöhe der a-Saite ist hier ungefähr ein f#. </t>
  </si>
  <si>
    <t>Viertelton = 24. Wurzel aus 2.</t>
  </si>
  <si>
    <t>Frqu/Länge</t>
  </si>
  <si>
    <t>Analyse des Geigen-Samples</t>
  </si>
  <si>
    <t>Messung b-</t>
  </si>
  <si>
    <t>grob</t>
  </si>
  <si>
    <t>Spek1</t>
  </si>
  <si>
    <t>Spek2</t>
  </si>
  <si>
    <t>Spek3</t>
  </si>
  <si>
    <t>Spek4</t>
  </si>
  <si>
    <t>Spek5</t>
  </si>
  <si>
    <t>Messung h</t>
  </si>
  <si>
    <t>Oton</t>
  </si>
  <si>
    <t>mittelw.</t>
  </si>
  <si>
    <t>einzeln</t>
  </si>
  <si>
    <t>Messung a</t>
  </si>
  <si>
    <t>Mittel h</t>
  </si>
  <si>
    <t>Mittel b-</t>
  </si>
  <si>
    <t>Frqu (Hz)</t>
  </si>
  <si>
    <t>Intervall (Cent)</t>
  </si>
  <si>
    <t>Zielwert</t>
  </si>
  <si>
    <t>Messung e</t>
  </si>
  <si>
    <t>Es wurden in Audacity 5 Spektrallinien gemessen und dann ein Mittelwert gebildet.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</si>
</sst>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2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2" borderId="0" xfId="0" applyFill="1" applyBorder="1"/>
    <xf numFmtId="0" fontId="0" fillId="4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5" xfId="0" applyBorder="1"/>
    <xf numFmtId="165" fontId="0" fillId="0" borderId="6" xfId="0" applyNumberFormat="1" applyBorder="1" applyAlignment="1">
      <alignment horizontal="center"/>
    </xf>
    <xf numFmtId="0" fontId="0" fillId="0" borderId="7" xfId="0" applyBorder="1"/>
    <xf numFmtId="165" fontId="0" fillId="0" borderId="8" xfId="0" applyNumberForma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6" xfId="0" applyBorder="1"/>
    <xf numFmtId="2" fontId="0" fillId="0" borderId="0" xfId="0" applyNumberFormat="1" applyBorder="1"/>
    <xf numFmtId="166" fontId="0" fillId="0" borderId="7" xfId="0" applyNumberFormat="1" applyBorder="1" applyAlignment="1">
      <alignment horizontal="center"/>
    </xf>
    <xf numFmtId="0" fontId="0" fillId="0" borderId="8" xfId="0" applyBorder="1"/>
    <xf numFmtId="2" fontId="0" fillId="0" borderId="9" xfId="0" applyNumberFormat="1" applyBorder="1"/>
    <xf numFmtId="166" fontId="0" fillId="0" borderId="10" xfId="0" applyNumberForma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2" fillId="0" borderId="0" xfId="0" applyFont="1"/>
    <xf numFmtId="2" fontId="0" fillId="0" borderId="7" xfId="0" applyNumberFormat="1" applyBorder="1"/>
    <xf numFmtId="2" fontId="0" fillId="0" borderId="10" xfId="0" applyNumberFormat="1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/>
    <xf numFmtId="0" fontId="0" fillId="0" borderId="12" xfId="0" applyBorder="1"/>
    <xf numFmtId="0" fontId="0" fillId="0" borderId="14" xfId="0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/>
    <xf numFmtId="0" fontId="0" fillId="0" borderId="1" xfId="0" applyFill="1" applyBorder="1" applyAlignment="1">
      <alignment horizontal="left"/>
    </xf>
    <xf numFmtId="0" fontId="0" fillId="0" borderId="13" xfId="0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6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7" fillId="0" borderId="0" xfId="0" applyFont="1"/>
    <xf numFmtId="0" fontId="0" fillId="0" borderId="0" xfId="0" applyFill="1" applyBorder="1" applyAlignment="1">
      <alignment horizontal="left"/>
    </xf>
    <xf numFmtId="10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" fontId="0" fillId="8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0" xfId="0" applyNumberForma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4.912536943583598E-2"/>
          <c:y val="5.1400554097404488E-2"/>
          <c:w val="0.92543747132678555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Baglama!$H$3</c:f>
              <c:strCache>
                <c:ptCount val="1"/>
                <c:pt idx="0">
                  <c:v>Messung 2 (Hz)</c:v>
                </c:pt>
              </c:strCache>
            </c:strRef>
          </c:tx>
          <c:val>
            <c:numRef>
              <c:f>Baglama!$H$4:$H$21</c:f>
              <c:numCache>
                <c:formatCode>General</c:formatCode>
                <c:ptCount val="18"/>
                <c:pt idx="0">
                  <c:v>91.1</c:v>
                </c:pt>
                <c:pt idx="1">
                  <c:v>94.2</c:v>
                </c:pt>
                <c:pt idx="2">
                  <c:v>99.7</c:v>
                </c:pt>
                <c:pt idx="3">
                  <c:v>101.1</c:v>
                </c:pt>
                <c:pt idx="4">
                  <c:v>108.1</c:v>
                </c:pt>
                <c:pt idx="5">
                  <c:v>110.5</c:v>
                </c:pt>
                <c:pt idx="6">
                  <c:v>113.3</c:v>
                </c:pt>
                <c:pt idx="7">
                  <c:v>119.2</c:v>
                </c:pt>
                <c:pt idx="8">
                  <c:v>126.75</c:v>
                </c:pt>
                <c:pt idx="9">
                  <c:v>131.30000000000001</c:v>
                </c:pt>
                <c:pt idx="10">
                  <c:v>135.19999999999999</c:v>
                </c:pt>
                <c:pt idx="11">
                  <c:v>140.4</c:v>
                </c:pt>
                <c:pt idx="12">
                  <c:v>146.5</c:v>
                </c:pt>
                <c:pt idx="13">
                  <c:v>154.19999999999999</c:v>
                </c:pt>
                <c:pt idx="14">
                  <c:v>159.80000000000001</c:v>
                </c:pt>
                <c:pt idx="15">
                  <c:v>167</c:v>
                </c:pt>
                <c:pt idx="16">
                  <c:v>175</c:v>
                </c:pt>
                <c:pt idx="17">
                  <c:v>181.5</c:v>
                </c:pt>
              </c:numCache>
            </c:numRef>
          </c:val>
        </c:ser>
        <c:ser>
          <c:idx val="1"/>
          <c:order val="1"/>
          <c:tx>
            <c:strRef>
              <c:f>Baglama!$N$3</c:f>
              <c:strCache>
                <c:ptCount val="1"/>
                <c:pt idx="0">
                  <c:v>Saitenlängen</c:v>
                </c:pt>
              </c:strCache>
            </c:strRef>
          </c:tx>
          <c:val>
            <c:numRef>
              <c:f>Baglama!$N$4:$N$21</c:f>
              <c:numCache>
                <c:formatCode>0.00</c:formatCode>
                <c:ptCount val="18"/>
                <c:pt idx="0">
                  <c:v>91.1</c:v>
                </c:pt>
                <c:pt idx="1">
                  <c:v>96.289939393939406</c:v>
                </c:pt>
                <c:pt idx="2">
                  <c:v>99.299000000000007</c:v>
                </c:pt>
                <c:pt idx="3">
                  <c:v>102.37010309278349</c:v>
                </c:pt>
                <c:pt idx="4">
                  <c:v>107.78724559023065</c:v>
                </c:pt>
                <c:pt idx="5">
                  <c:v>111.8861971830986</c:v>
                </c:pt>
                <c:pt idx="6">
                  <c:v>114.7965317919075</c:v>
                </c:pt>
                <c:pt idx="7">
                  <c:v>121.2812213740458</c:v>
                </c:pt>
                <c:pt idx="8">
                  <c:v>128.12774193548387</c:v>
                </c:pt>
                <c:pt idx="9">
                  <c:v>131.73996683250414</c:v>
                </c:pt>
                <c:pt idx="10">
                  <c:v>136.02602739726026</c:v>
                </c:pt>
                <c:pt idx="11">
                  <c:v>142.87625899280576</c:v>
                </c:pt>
                <c:pt idx="12">
                  <c:v>148.48448598130841</c:v>
                </c:pt>
                <c:pt idx="13">
                  <c:v>152.47447216890595</c:v>
                </c:pt>
                <c:pt idx="14">
                  <c:v>161.13427991886408</c:v>
                </c:pt>
                <c:pt idx="15">
                  <c:v>169.74188034188032</c:v>
                </c:pt>
                <c:pt idx="16">
                  <c:v>176.53155555555554</c:v>
                </c:pt>
                <c:pt idx="17">
                  <c:v>182.2</c:v>
                </c:pt>
              </c:numCache>
            </c:numRef>
          </c:val>
        </c:ser>
        <c:ser>
          <c:idx val="2"/>
          <c:order val="2"/>
          <c:tx>
            <c:strRef>
              <c:f>Baglama!$R$3</c:f>
              <c:strCache>
                <c:ptCount val="1"/>
                <c:pt idx="0">
                  <c:v>temp. Frqu</c:v>
                </c:pt>
              </c:strCache>
            </c:strRef>
          </c:tx>
          <c:val>
            <c:numRef>
              <c:f>Baglama!$R$4:$R$21</c:f>
              <c:numCache>
                <c:formatCode>0.00</c:formatCode>
                <c:ptCount val="18"/>
                <c:pt idx="0" formatCode="General">
                  <c:v>91.1</c:v>
                </c:pt>
                <c:pt idx="1">
                  <c:v>96.517087896131798</c:v>
                </c:pt>
                <c:pt idx="2">
                  <c:v>99.345254445804969</c:v>
                </c:pt>
                <c:pt idx="3">
                  <c:v>102.25629260098387</c:v>
                </c:pt>
                <c:pt idx="4">
                  <c:v>108.33676817674788</c:v>
                </c:pt>
                <c:pt idx="5">
                  <c:v>111.5112777950541</c:v>
                </c:pt>
                <c:pt idx="6">
                  <c:v>114.77880764542294</c:v>
                </c:pt>
                <c:pt idx="7">
                  <c:v>121.60391071489012</c:v>
                </c:pt>
                <c:pt idx="8">
                  <c:v>128.83485553218895</c:v>
                </c:pt>
                <c:pt idx="9">
                  <c:v>132.61000495692326</c:v>
                </c:pt>
                <c:pt idx="10">
                  <c:v>136.49577470346568</c:v>
                </c:pt>
                <c:pt idx="11">
                  <c:v>144.61223583430296</c:v>
                </c:pt>
                <c:pt idx="12">
                  <c:v>148.84969779026417</c:v>
                </c:pt>
                <c:pt idx="13">
                  <c:v>153.21132685922677</c:v>
                </c:pt>
                <c:pt idx="14">
                  <c:v>162.32174644516979</c:v>
                </c:pt>
                <c:pt idx="15">
                  <c:v>171.97389977060453</c:v>
                </c:pt>
                <c:pt idx="16">
                  <c:v>177.01311967818697</c:v>
                </c:pt>
                <c:pt idx="17">
                  <c:v>182.2</c:v>
                </c:pt>
              </c:numCache>
            </c:numRef>
          </c:val>
        </c:ser>
        <c:axId val="131305472"/>
        <c:axId val="131307008"/>
      </c:barChart>
      <c:catAx>
        <c:axId val="131305472"/>
        <c:scaling>
          <c:orientation val="minMax"/>
        </c:scaling>
        <c:axPos val="b"/>
        <c:tickLblPos val="nextTo"/>
        <c:crossAx val="131307008"/>
        <c:crosses val="autoZero"/>
        <c:auto val="1"/>
        <c:lblAlgn val="ctr"/>
        <c:lblOffset val="100"/>
      </c:catAx>
      <c:valAx>
        <c:axId val="131307008"/>
        <c:scaling>
          <c:orientation val="minMax"/>
          <c:min val="90"/>
        </c:scaling>
        <c:axPos val="l"/>
        <c:majorGridlines/>
        <c:numFmt formatCode="General" sourceLinked="1"/>
        <c:tickLblPos val="nextTo"/>
        <c:crossAx val="131305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61244737392368"/>
          <c:y val="0.24479440069991257"/>
          <c:w val="0.12731526622284292"/>
          <c:h val="0.26799540682414696"/>
        </c:manualLayout>
      </c:layout>
      <c:spPr>
        <a:solidFill>
          <a:schemeClr val="bg1"/>
        </a:solidFill>
      </c:spPr>
      <c:txPr>
        <a:bodyPr/>
        <a:lstStyle/>
        <a:p>
          <a:pPr>
            <a:defRPr sz="1100" b="1"/>
          </a:pPr>
          <a:endParaRPr lang="de-DE"/>
        </a:p>
      </c:txPr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10</xdr:row>
      <xdr:rowOff>57150</xdr:rowOff>
    </xdr:from>
    <xdr:to>
      <xdr:col>19</xdr:col>
      <xdr:colOff>336610</xdr:colOff>
      <xdr:row>11</xdr:row>
      <xdr:rowOff>219075</xdr:rowOff>
    </xdr:to>
    <xdr:pic>
      <xdr:nvPicPr>
        <xdr:cNvPr id="2" name="Grafik 1" descr="b-norm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5114925"/>
          <a:ext cx="231835" cy="409575"/>
        </a:xfrm>
        <a:prstGeom prst="rect">
          <a:avLst/>
        </a:prstGeom>
      </xdr:spPr>
    </xdr:pic>
    <xdr:clientData/>
  </xdr:twoCellAnchor>
  <xdr:twoCellAnchor editAs="oneCell">
    <xdr:from>
      <xdr:col>19</xdr:col>
      <xdr:colOff>66675</xdr:colOff>
      <xdr:row>12</xdr:row>
      <xdr:rowOff>190500</xdr:rowOff>
    </xdr:from>
    <xdr:to>
      <xdr:col>19</xdr:col>
      <xdr:colOff>361411</xdr:colOff>
      <xdr:row>13</xdr:row>
      <xdr:rowOff>228600</xdr:rowOff>
    </xdr:to>
    <xdr:pic>
      <xdr:nvPicPr>
        <xdr:cNvPr id="3" name="Grafik 2" descr="b-minu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5" y="5676900"/>
          <a:ext cx="294736" cy="381000"/>
        </a:xfrm>
        <a:prstGeom prst="rect">
          <a:avLst/>
        </a:prstGeom>
      </xdr:spPr>
    </xdr:pic>
    <xdr:clientData/>
  </xdr:twoCellAnchor>
  <xdr:twoCellAnchor editAs="oneCell">
    <xdr:from>
      <xdr:col>19</xdr:col>
      <xdr:colOff>133350</xdr:colOff>
      <xdr:row>14</xdr:row>
      <xdr:rowOff>209550</xdr:rowOff>
    </xdr:from>
    <xdr:to>
      <xdr:col>19</xdr:col>
      <xdr:colOff>361950</xdr:colOff>
      <xdr:row>16</xdr:row>
      <xdr:rowOff>60960</xdr:rowOff>
    </xdr:to>
    <xdr:pic>
      <xdr:nvPicPr>
        <xdr:cNvPr id="4" name="Grafik 3" descr="b-umgedreh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6172200"/>
          <a:ext cx="228600" cy="403860"/>
        </a:xfrm>
        <a:prstGeom prst="rect">
          <a:avLst/>
        </a:prstGeom>
      </xdr:spPr>
    </xdr:pic>
    <xdr:clientData/>
  </xdr:twoCellAnchor>
  <xdr:twoCellAnchor editAs="oneCell">
    <xdr:from>
      <xdr:col>21</xdr:col>
      <xdr:colOff>66675</xdr:colOff>
      <xdr:row>10</xdr:row>
      <xdr:rowOff>47625</xdr:rowOff>
    </xdr:from>
    <xdr:to>
      <xdr:col>21</xdr:col>
      <xdr:colOff>354042</xdr:colOff>
      <xdr:row>11</xdr:row>
      <xdr:rowOff>180975</xdr:rowOff>
    </xdr:to>
    <xdr:pic>
      <xdr:nvPicPr>
        <xdr:cNvPr id="5" name="Grafik 4" descr="kreuz-einfach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09800" y="5105400"/>
          <a:ext cx="287367" cy="371475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15</xdr:row>
      <xdr:rowOff>123825</xdr:rowOff>
    </xdr:from>
    <xdr:to>
      <xdr:col>21</xdr:col>
      <xdr:colOff>374039</xdr:colOff>
      <xdr:row>16</xdr:row>
      <xdr:rowOff>228600</xdr:rowOff>
    </xdr:to>
    <xdr:pic>
      <xdr:nvPicPr>
        <xdr:cNvPr id="6" name="Grafik 5" descr="kreuz-dreifach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71700" y="6324600"/>
          <a:ext cx="345464" cy="438150"/>
        </a:xfrm>
        <a:prstGeom prst="rect">
          <a:avLst/>
        </a:prstGeom>
      </xdr:spPr>
    </xdr:pic>
    <xdr:clientData/>
  </xdr:twoCellAnchor>
  <xdr:twoCellAnchor editAs="oneCell">
    <xdr:from>
      <xdr:col>21</xdr:col>
      <xdr:colOff>45225</xdr:colOff>
      <xdr:row>13</xdr:row>
      <xdr:rowOff>7125</xdr:rowOff>
    </xdr:from>
    <xdr:to>
      <xdr:col>21</xdr:col>
      <xdr:colOff>336325</xdr:colOff>
      <xdr:row>14</xdr:row>
      <xdr:rowOff>104775</xdr:rowOff>
    </xdr:to>
    <xdr:pic>
      <xdr:nvPicPr>
        <xdr:cNvPr id="7" name="Grafik 6" descr="kreuz-norma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88350" y="5731650"/>
          <a:ext cx="291100" cy="38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12</xdr:col>
      <xdr:colOff>476250</xdr:colOff>
      <xdr:row>45</xdr:row>
      <xdr:rowOff>76200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352425</xdr:colOff>
      <xdr:row>31</xdr:row>
      <xdr:rowOff>180975</xdr:rowOff>
    </xdr:from>
    <xdr:ext cx="7160550" cy="264560"/>
    <xdr:sp macro="" textlink="">
      <xdr:nvSpPr>
        <xdr:cNvPr id="14" name="Textfeld 13"/>
        <xdr:cNvSpPr txBox="1"/>
      </xdr:nvSpPr>
      <xdr:spPr>
        <a:xfrm>
          <a:off x="1704975" y="6353175"/>
          <a:ext cx="7160550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Abweichungen: Intervalle durch Messung der Bünde, durch Frequenzbestimmung am Sample und "temperierte" Rechnung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36</xdr:row>
      <xdr:rowOff>9525</xdr:rowOff>
    </xdr:from>
    <xdr:to>
      <xdr:col>9</xdr:col>
      <xdr:colOff>422335</xdr:colOff>
      <xdr:row>37</xdr:row>
      <xdr:rowOff>180975</xdr:rowOff>
    </xdr:to>
    <xdr:pic>
      <xdr:nvPicPr>
        <xdr:cNvPr id="7" name="Grafik 6" descr="b-norm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7475" y="6915150"/>
          <a:ext cx="231835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28</xdr:row>
      <xdr:rowOff>47625</xdr:rowOff>
    </xdr:from>
    <xdr:to>
      <xdr:col>9</xdr:col>
      <xdr:colOff>475711</xdr:colOff>
      <xdr:row>29</xdr:row>
      <xdr:rowOff>142875</xdr:rowOff>
    </xdr:to>
    <xdr:pic>
      <xdr:nvPicPr>
        <xdr:cNvPr id="8" name="Grafik 7" descr="b-minu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81675" y="5429250"/>
          <a:ext cx="294736" cy="28575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22</xdr:row>
      <xdr:rowOff>66675</xdr:rowOff>
    </xdr:from>
    <xdr:to>
      <xdr:col>9</xdr:col>
      <xdr:colOff>457200</xdr:colOff>
      <xdr:row>24</xdr:row>
      <xdr:rowOff>13335</xdr:rowOff>
    </xdr:to>
    <xdr:pic>
      <xdr:nvPicPr>
        <xdr:cNvPr id="9" name="Grafik 8" descr="b-umgedreh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05575" y="5638800"/>
          <a:ext cx="228600" cy="327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zoomScale="82" workbookViewId="0">
      <selection activeCell="F12" sqref="F12"/>
    </sheetView>
  </sheetViews>
  <sheetFormatPr baseColWidth="10" defaultRowHeight="15"/>
  <cols>
    <col min="1" max="1" width="6.5703125" customWidth="1"/>
    <col min="2" max="2" width="7.5703125" style="20" customWidth="1"/>
    <col min="3" max="3" width="6.42578125" style="4" customWidth="1"/>
    <col min="4" max="4" width="6.42578125" customWidth="1"/>
    <col min="5" max="5" width="7.140625" style="5" customWidth="1"/>
    <col min="6" max="6" width="7.28515625" style="5" customWidth="1"/>
    <col min="7" max="7" width="10.140625" style="5" customWidth="1"/>
    <col min="8" max="8" width="5.85546875" customWidth="1"/>
    <col min="9" max="10" width="8.85546875" customWidth="1"/>
    <col min="12" max="12" width="6.7109375" customWidth="1"/>
    <col min="14" max="15" width="10.5703125" customWidth="1"/>
    <col min="20" max="20" width="9" customWidth="1"/>
    <col min="21" max="21" width="9.85546875" style="5" customWidth="1"/>
    <col min="22" max="22" width="11.42578125" style="5"/>
    <col min="23" max="23" width="9.5703125" customWidth="1"/>
    <col min="24" max="24" width="12.28515625" customWidth="1"/>
    <col min="25" max="25" width="17.140625" customWidth="1"/>
  </cols>
  <sheetData>
    <row r="1" spans="1:25" ht="18.75">
      <c r="A1" s="17" t="s">
        <v>32</v>
      </c>
      <c r="C1" s="15"/>
    </row>
    <row r="2" spans="1:25" ht="18.75">
      <c r="A2" s="17"/>
      <c r="C2" s="16"/>
      <c r="Q2" s="16"/>
      <c r="R2" s="16"/>
      <c r="S2" s="16"/>
      <c r="T2" s="16"/>
      <c r="U2" s="25"/>
      <c r="V2" s="25"/>
      <c r="W2" s="16"/>
      <c r="X2" s="16"/>
    </row>
    <row r="3" spans="1:25">
      <c r="C3" s="16"/>
      <c r="D3" t="s">
        <v>36</v>
      </c>
      <c r="E3" s="19" t="s">
        <v>33</v>
      </c>
      <c r="F3" s="19"/>
      <c r="G3" s="19"/>
      <c r="I3" s="13" t="s">
        <v>34</v>
      </c>
      <c r="J3" s="13"/>
      <c r="K3" s="13"/>
      <c r="M3" s="13" t="s">
        <v>35</v>
      </c>
      <c r="N3" s="13"/>
      <c r="O3" s="13"/>
      <c r="Q3" s="16"/>
      <c r="R3" s="16"/>
      <c r="S3" s="16"/>
      <c r="T3" s="25"/>
      <c r="U3" s="25"/>
      <c r="V3" s="25"/>
      <c r="W3" s="25"/>
      <c r="X3" s="25"/>
      <c r="Y3" s="5"/>
    </row>
    <row r="4" spans="1:25">
      <c r="A4" t="s">
        <v>7</v>
      </c>
      <c r="B4" s="20" t="s">
        <v>1</v>
      </c>
      <c r="C4" s="18"/>
      <c r="E4" s="6" t="s">
        <v>20</v>
      </c>
      <c r="F4" s="6" t="s">
        <v>21</v>
      </c>
      <c r="G4" s="6" t="s">
        <v>19</v>
      </c>
      <c r="I4" s="10" t="s">
        <v>20</v>
      </c>
      <c r="J4" s="10" t="s">
        <v>19</v>
      </c>
      <c r="K4" s="10" t="s">
        <v>21</v>
      </c>
      <c r="M4" s="9" t="s">
        <v>19</v>
      </c>
      <c r="N4" s="9" t="s">
        <v>22</v>
      </c>
      <c r="O4" s="9" t="s">
        <v>23</v>
      </c>
      <c r="Q4" s="16"/>
      <c r="R4" s="22"/>
      <c r="S4" s="16"/>
      <c r="T4" s="25"/>
      <c r="U4" s="25"/>
      <c r="V4" s="25"/>
      <c r="W4" s="16"/>
      <c r="X4" s="26"/>
      <c r="Y4" s="23"/>
    </row>
    <row r="5" spans="1:25">
      <c r="A5" t="s">
        <v>18</v>
      </c>
      <c r="B5" s="20">
        <v>55</v>
      </c>
      <c r="C5" s="2"/>
      <c r="E5" s="6"/>
      <c r="F5" s="6"/>
      <c r="G5" s="6"/>
      <c r="I5" s="11"/>
      <c r="J5" s="11"/>
      <c r="K5" s="11"/>
      <c r="M5" s="6"/>
      <c r="N5" s="6"/>
      <c r="O5" s="6"/>
      <c r="Q5" s="16"/>
      <c r="R5" s="16"/>
      <c r="S5" s="16"/>
      <c r="T5" s="25"/>
      <c r="U5" s="25"/>
      <c r="V5" s="25"/>
      <c r="W5" s="16"/>
      <c r="X5" s="26"/>
      <c r="Y5" s="23"/>
    </row>
    <row r="6" spans="1:25">
      <c r="A6" t="s">
        <v>8</v>
      </c>
      <c r="B6" s="20">
        <f>B5*2^(1/12)</f>
        <v>58.270470189761241</v>
      </c>
      <c r="C6" s="3"/>
      <c r="E6" s="6">
        <v>55</v>
      </c>
      <c r="F6" s="7">
        <v>58.270473000000003</v>
      </c>
      <c r="G6" s="8">
        <f>1200*(LN(F6/E6)/LN(2))</f>
        <v>100.00008349307815</v>
      </c>
      <c r="I6" s="11">
        <v>55</v>
      </c>
      <c r="J6" s="11">
        <v>100</v>
      </c>
      <c r="K6" s="12">
        <f xml:space="preserve"> I6*2^(J6/1200)</f>
        <v>58.270470189761241</v>
      </c>
      <c r="M6" s="6">
        <v>-200</v>
      </c>
      <c r="N6" s="8">
        <f>V4*(128/400)+64</f>
        <v>64</v>
      </c>
      <c r="O6" s="8">
        <f>128*(N6-INT(N6))</f>
        <v>0</v>
      </c>
      <c r="Q6" s="16"/>
      <c r="R6" s="16"/>
      <c r="S6" s="16"/>
      <c r="T6" s="25"/>
      <c r="U6" s="25"/>
      <c r="V6" s="25"/>
      <c r="W6" s="16"/>
      <c r="X6" s="26"/>
      <c r="Y6" s="23"/>
    </row>
    <row r="7" spans="1:25">
      <c r="A7" t="s">
        <v>9</v>
      </c>
      <c r="B7" s="20">
        <f t="shared" ref="B7:B70" si="0">B6*2^(1/12)</f>
        <v>61.735412657015516</v>
      </c>
      <c r="C7" s="2"/>
      <c r="E7" s="6">
        <v>220</v>
      </c>
      <c r="F7" s="6">
        <v>330</v>
      </c>
      <c r="G7" s="8">
        <f>1200*(LN(F7/E7)/LN(2))</f>
        <v>701.95500086538743</v>
      </c>
      <c r="I7" s="11">
        <v>220</v>
      </c>
      <c r="J7" s="11">
        <v>700</v>
      </c>
      <c r="K7" s="12">
        <f>K6*2^(I7/1200)</f>
        <v>66.166376984516418</v>
      </c>
      <c r="M7" s="6">
        <v>-100</v>
      </c>
      <c r="N7" s="8">
        <f t="shared" ref="N7:N19" si="1">M7*(128/400)+64</f>
        <v>32</v>
      </c>
      <c r="O7" s="8">
        <f t="shared" ref="O7:O19" si="2">128*(N7-INT(N7))</f>
        <v>0</v>
      </c>
      <c r="Q7" s="16"/>
      <c r="R7" s="16"/>
      <c r="S7" s="16"/>
      <c r="T7" s="25"/>
      <c r="U7" s="25"/>
      <c r="V7" s="25"/>
      <c r="W7" s="16"/>
      <c r="X7" s="26"/>
      <c r="Y7" s="23"/>
    </row>
    <row r="8" spans="1:25">
      <c r="A8" s="13" t="s">
        <v>24</v>
      </c>
      <c r="B8" s="21">
        <f t="shared" si="0"/>
        <v>65.40639132514967</v>
      </c>
      <c r="C8" s="14"/>
      <c r="D8">
        <v>36</v>
      </c>
      <c r="E8" s="6"/>
      <c r="F8" s="6"/>
      <c r="G8" s="8"/>
      <c r="I8" s="11"/>
      <c r="J8" s="11"/>
      <c r="K8" s="12">
        <f t="shared" ref="K8:K11" si="3" xml:space="preserve"> I8*2^(J8/1200)</f>
        <v>0</v>
      </c>
      <c r="M8" s="6">
        <v>0</v>
      </c>
      <c r="N8" s="8">
        <f t="shared" si="1"/>
        <v>64</v>
      </c>
      <c r="O8" s="8">
        <f t="shared" si="2"/>
        <v>0</v>
      </c>
      <c r="Q8" s="16"/>
      <c r="R8" s="16"/>
      <c r="S8" s="16"/>
      <c r="T8" s="25"/>
      <c r="U8" s="25"/>
      <c r="V8" s="25"/>
      <c r="W8" s="16"/>
      <c r="X8" s="26"/>
      <c r="Y8" s="23"/>
    </row>
    <row r="9" spans="1:25">
      <c r="A9" t="s">
        <v>10</v>
      </c>
      <c r="B9" s="20">
        <f t="shared" si="0"/>
        <v>69.295657744218033</v>
      </c>
      <c r="C9" s="3"/>
      <c r="D9" s="5">
        <f>D8+1</f>
        <v>37</v>
      </c>
      <c r="E9" s="6">
        <v>32</v>
      </c>
      <c r="F9" s="6">
        <v>27</v>
      </c>
      <c r="G9" s="8">
        <f t="shared" ref="G9:G11" si="4">1200*(LN(F9/E9)/LN(2))</f>
        <v>-294.13499740383776</v>
      </c>
      <c r="I9" s="4"/>
      <c r="J9" s="4"/>
      <c r="K9" s="12">
        <f t="shared" si="3"/>
        <v>0</v>
      </c>
      <c r="M9" s="6">
        <v>1</v>
      </c>
      <c r="N9" s="8">
        <f t="shared" si="1"/>
        <v>64.319999999999993</v>
      </c>
      <c r="O9" s="8">
        <f t="shared" si="2"/>
        <v>40.959999999999127</v>
      </c>
      <c r="Q9" s="16"/>
      <c r="R9" s="16"/>
      <c r="S9" s="16"/>
      <c r="T9" s="25"/>
      <c r="U9" s="25"/>
      <c r="V9" s="25"/>
      <c r="W9" s="16"/>
      <c r="X9" s="26"/>
      <c r="Y9" s="23"/>
    </row>
    <row r="10" spans="1:25">
      <c r="A10" t="s">
        <v>11</v>
      </c>
      <c r="B10" s="20">
        <f t="shared" si="0"/>
        <v>73.416191979351908</v>
      </c>
      <c r="C10" s="2"/>
      <c r="D10" s="5">
        <f t="shared" ref="D10:D73" si="5">D9+1</f>
        <v>38</v>
      </c>
      <c r="E10" s="6">
        <v>81</v>
      </c>
      <c r="F10" s="6">
        <v>64</v>
      </c>
      <c r="G10" s="8">
        <f t="shared" si="4"/>
        <v>-407.82000346154979</v>
      </c>
      <c r="I10" s="4"/>
      <c r="J10" s="4"/>
      <c r="K10" s="12">
        <f t="shared" si="3"/>
        <v>0</v>
      </c>
      <c r="M10" s="6">
        <v>10</v>
      </c>
      <c r="N10" s="8">
        <f t="shared" si="1"/>
        <v>67.2</v>
      </c>
      <c r="O10" s="8">
        <f t="shared" si="2"/>
        <v>25.600000000000364</v>
      </c>
      <c r="Q10" s="16"/>
      <c r="R10" s="16"/>
      <c r="S10" s="16"/>
      <c r="T10" s="25"/>
      <c r="U10" s="25"/>
      <c r="V10" s="25"/>
      <c r="W10" s="16"/>
      <c r="X10" s="26"/>
      <c r="Y10" s="23"/>
    </row>
    <row r="11" spans="1:25">
      <c r="A11" t="s">
        <v>12</v>
      </c>
      <c r="B11" s="20">
        <f t="shared" si="0"/>
        <v>77.781745930520245</v>
      </c>
      <c r="C11" s="3"/>
      <c r="D11" s="5">
        <f t="shared" si="5"/>
        <v>39</v>
      </c>
      <c r="E11" s="6">
        <v>436</v>
      </c>
      <c r="F11" s="6">
        <v>290</v>
      </c>
      <c r="G11" s="8">
        <f t="shared" si="4"/>
        <v>-705.93028171439016</v>
      </c>
      <c r="I11" s="4"/>
      <c r="J11" s="4"/>
      <c r="K11" s="12">
        <f t="shared" si="3"/>
        <v>0</v>
      </c>
      <c r="M11" s="6">
        <v>50</v>
      </c>
      <c r="N11" s="8">
        <f t="shared" si="1"/>
        <v>80</v>
      </c>
      <c r="O11" s="8">
        <f t="shared" si="2"/>
        <v>0</v>
      </c>
      <c r="Q11" s="16"/>
      <c r="R11" s="16"/>
      <c r="S11" s="16"/>
      <c r="T11" s="25"/>
      <c r="U11" s="25"/>
      <c r="V11" s="25"/>
      <c r="W11" s="16"/>
      <c r="X11" s="26"/>
      <c r="Y11" s="23"/>
    </row>
    <row r="12" spans="1:25">
      <c r="A12" t="s">
        <v>13</v>
      </c>
      <c r="B12" s="20">
        <f t="shared" si="0"/>
        <v>82.406889228217509</v>
      </c>
      <c r="C12" s="2"/>
      <c r="D12" s="5">
        <f t="shared" si="5"/>
        <v>40</v>
      </c>
      <c r="K12" s="1"/>
      <c r="M12" s="6">
        <v>51</v>
      </c>
      <c r="N12" s="8">
        <f t="shared" si="1"/>
        <v>80.319999999999993</v>
      </c>
      <c r="O12" s="8">
        <f t="shared" si="2"/>
        <v>40.959999999999127</v>
      </c>
      <c r="Q12" s="16"/>
      <c r="R12" s="16"/>
      <c r="S12" s="16"/>
      <c r="T12" s="25"/>
      <c r="U12" s="25"/>
      <c r="V12" s="25"/>
      <c r="W12" s="16"/>
      <c r="X12" s="26"/>
      <c r="Y12" s="23"/>
    </row>
    <row r="13" spans="1:25">
      <c r="A13" t="s">
        <v>14</v>
      </c>
      <c r="B13" s="20">
        <f t="shared" si="0"/>
        <v>87.307057858251</v>
      </c>
      <c r="C13" s="2"/>
      <c r="D13" s="5">
        <f t="shared" si="5"/>
        <v>41</v>
      </c>
      <c r="M13" s="6">
        <v>99</v>
      </c>
      <c r="N13" s="8">
        <f t="shared" si="1"/>
        <v>95.68</v>
      </c>
      <c r="O13" s="8">
        <f t="shared" si="2"/>
        <v>87.040000000000873</v>
      </c>
      <c r="Q13" s="16"/>
      <c r="R13" s="16"/>
      <c r="S13" s="16"/>
      <c r="T13" s="25"/>
      <c r="U13" s="25"/>
      <c r="V13" s="25"/>
      <c r="W13" s="16"/>
      <c r="X13" s="26"/>
      <c r="Y13" s="23"/>
    </row>
    <row r="14" spans="1:25">
      <c r="A14" t="s">
        <v>15</v>
      </c>
      <c r="B14" s="20">
        <f t="shared" si="0"/>
        <v>92.498605677908628</v>
      </c>
      <c r="C14" s="3"/>
      <c r="D14" s="5">
        <f t="shared" si="5"/>
        <v>42</v>
      </c>
      <c r="M14" s="6">
        <v>100</v>
      </c>
      <c r="N14" s="8">
        <f t="shared" si="1"/>
        <v>96</v>
      </c>
      <c r="O14" s="8">
        <f t="shared" si="2"/>
        <v>0</v>
      </c>
      <c r="Q14" s="16"/>
      <c r="R14" s="16"/>
      <c r="S14" s="16"/>
      <c r="T14" s="25"/>
      <c r="U14" s="25"/>
      <c r="V14" s="25"/>
      <c r="W14" s="16"/>
      <c r="X14" s="26"/>
      <c r="Y14" s="23"/>
    </row>
    <row r="15" spans="1:25">
      <c r="A15" t="s">
        <v>16</v>
      </c>
      <c r="B15" s="20">
        <f t="shared" si="0"/>
        <v>97.998858995437359</v>
      </c>
      <c r="C15" s="2"/>
      <c r="D15" s="5">
        <f t="shared" si="5"/>
        <v>43</v>
      </c>
      <c r="M15" s="6">
        <v>200</v>
      </c>
      <c r="N15" s="8">
        <f t="shared" si="1"/>
        <v>128</v>
      </c>
      <c r="O15" s="8">
        <f t="shared" si="2"/>
        <v>0</v>
      </c>
      <c r="Q15" s="16"/>
      <c r="R15" s="16"/>
      <c r="S15" s="16"/>
      <c r="T15" s="25"/>
      <c r="U15" s="25"/>
      <c r="V15" s="25"/>
      <c r="W15" s="16"/>
      <c r="X15" s="26"/>
      <c r="Y15" s="23"/>
    </row>
    <row r="16" spans="1:25">
      <c r="A16" t="s">
        <v>17</v>
      </c>
      <c r="B16" s="20">
        <f t="shared" si="0"/>
        <v>103.82617439498632</v>
      </c>
      <c r="C16" s="3"/>
      <c r="D16" s="5">
        <f t="shared" si="5"/>
        <v>44</v>
      </c>
      <c r="M16" s="6"/>
      <c r="N16" s="8">
        <f t="shared" si="1"/>
        <v>64</v>
      </c>
      <c r="O16" s="8">
        <f t="shared" si="2"/>
        <v>0</v>
      </c>
      <c r="Q16" s="16"/>
      <c r="R16" s="16"/>
      <c r="S16" s="16"/>
      <c r="T16" s="25"/>
      <c r="U16" s="25"/>
      <c r="V16" s="25"/>
      <c r="W16" s="16"/>
      <c r="X16" s="26"/>
      <c r="Y16" s="23"/>
    </row>
    <row r="17" spans="1:25">
      <c r="A17" t="s">
        <v>3</v>
      </c>
      <c r="B17" s="20">
        <f t="shared" si="0"/>
        <v>110.00000000000004</v>
      </c>
      <c r="C17" s="2"/>
      <c r="D17" s="5">
        <f t="shared" si="5"/>
        <v>45</v>
      </c>
      <c r="M17" s="4"/>
      <c r="N17" s="8">
        <f t="shared" si="1"/>
        <v>64</v>
      </c>
      <c r="O17" s="8">
        <f t="shared" si="2"/>
        <v>0</v>
      </c>
      <c r="Q17" s="16"/>
      <c r="R17" s="16"/>
      <c r="S17" s="16"/>
      <c r="T17" s="25"/>
      <c r="U17" s="25"/>
      <c r="V17" s="25"/>
      <c r="W17" s="16"/>
      <c r="X17" s="26"/>
      <c r="Y17" s="23"/>
    </row>
    <row r="18" spans="1:25">
      <c r="A18" t="s">
        <v>8</v>
      </c>
      <c r="B18" s="20">
        <f t="shared" si="0"/>
        <v>116.54094037952252</v>
      </c>
      <c r="C18" s="3"/>
      <c r="D18" s="5">
        <f t="shared" si="5"/>
        <v>46</v>
      </c>
      <c r="M18" s="4"/>
      <c r="N18" s="8">
        <f t="shared" si="1"/>
        <v>64</v>
      </c>
      <c r="O18" s="8">
        <f t="shared" si="2"/>
        <v>0</v>
      </c>
      <c r="Q18" s="16"/>
      <c r="R18" s="16"/>
      <c r="S18" s="16"/>
      <c r="T18" s="25"/>
      <c r="U18" s="25"/>
      <c r="V18" s="25"/>
      <c r="W18" s="16"/>
      <c r="X18" s="26"/>
      <c r="Y18" s="23"/>
    </row>
    <row r="19" spans="1:25">
      <c r="A19" t="s">
        <v>9</v>
      </c>
      <c r="B19" s="20">
        <f t="shared" si="0"/>
        <v>123.47082531403107</v>
      </c>
      <c r="C19" s="2"/>
      <c r="D19" s="5">
        <f t="shared" si="5"/>
        <v>47</v>
      </c>
      <c r="M19" s="4"/>
      <c r="N19" s="8">
        <f t="shared" si="1"/>
        <v>64</v>
      </c>
      <c r="O19" s="8">
        <f t="shared" si="2"/>
        <v>0</v>
      </c>
      <c r="Q19" s="18"/>
      <c r="R19" s="18"/>
      <c r="S19" s="18"/>
      <c r="T19" s="27"/>
      <c r="U19" s="27"/>
      <c r="V19" s="28"/>
      <c r="W19" s="26"/>
      <c r="X19" s="26"/>
      <c r="Y19" s="24"/>
    </row>
    <row r="20" spans="1:25">
      <c r="A20" s="13" t="s">
        <v>25</v>
      </c>
      <c r="B20" s="21">
        <f t="shared" si="0"/>
        <v>130.81278265029937</v>
      </c>
      <c r="C20" s="14"/>
      <c r="D20" s="5">
        <f t="shared" si="5"/>
        <v>48</v>
      </c>
      <c r="Q20" s="18"/>
      <c r="R20" s="18"/>
      <c r="S20" s="18"/>
      <c r="T20" s="27"/>
      <c r="U20" s="27"/>
      <c r="V20" s="28"/>
      <c r="W20" s="26"/>
      <c r="X20" s="26"/>
      <c r="Y20" s="24"/>
    </row>
    <row r="21" spans="1:25">
      <c r="A21" t="s">
        <v>10</v>
      </c>
      <c r="B21" s="20">
        <f t="shared" si="0"/>
        <v>138.59131548843609</v>
      </c>
      <c r="C21" s="3"/>
      <c r="D21" s="5">
        <f t="shared" si="5"/>
        <v>49</v>
      </c>
      <c r="Q21" s="18"/>
      <c r="R21" s="18"/>
      <c r="S21" s="18"/>
      <c r="T21" s="27"/>
      <c r="U21" s="27"/>
      <c r="V21" s="28"/>
      <c r="W21" s="26"/>
      <c r="X21" s="26"/>
      <c r="Y21" s="24"/>
    </row>
    <row r="22" spans="1:25">
      <c r="A22" t="s">
        <v>11</v>
      </c>
      <c r="B22" s="20">
        <f>B21*2^(1/12)</f>
        <v>146.83238395870384</v>
      </c>
      <c r="C22" s="2"/>
      <c r="D22" s="5">
        <f t="shared" si="5"/>
        <v>50</v>
      </c>
      <c r="Q22" s="18"/>
      <c r="R22" s="18"/>
      <c r="S22" s="18"/>
      <c r="T22" s="27"/>
      <c r="U22" s="27"/>
      <c r="V22" s="28"/>
      <c r="W22" s="26"/>
      <c r="X22" s="26"/>
      <c r="Y22" s="24"/>
    </row>
    <row r="23" spans="1:25">
      <c r="A23" t="s">
        <v>12</v>
      </c>
      <c r="B23" s="20">
        <f t="shared" si="0"/>
        <v>155.56349186104052</v>
      </c>
      <c r="C23" s="3"/>
      <c r="D23" s="5">
        <f t="shared" si="5"/>
        <v>51</v>
      </c>
      <c r="Q23" s="18"/>
      <c r="R23" s="18"/>
      <c r="S23" s="18"/>
      <c r="T23" s="27"/>
      <c r="U23" s="27"/>
      <c r="V23" s="28"/>
      <c r="W23" s="26"/>
      <c r="X23" s="26"/>
      <c r="Y23" s="24"/>
    </row>
    <row r="24" spans="1:25">
      <c r="A24" t="s">
        <v>13</v>
      </c>
      <c r="B24" s="20">
        <f t="shared" si="0"/>
        <v>164.81377845643505</v>
      </c>
      <c r="C24" s="2"/>
      <c r="D24" s="5">
        <f t="shared" si="5"/>
        <v>52</v>
      </c>
      <c r="Q24" s="18"/>
      <c r="R24" s="18"/>
      <c r="S24" s="18"/>
      <c r="T24" s="27"/>
      <c r="U24" s="27"/>
      <c r="V24" s="28"/>
      <c r="W24" s="26"/>
      <c r="X24" s="26"/>
      <c r="Y24" s="24"/>
    </row>
    <row r="25" spans="1:25">
      <c r="A25" t="s">
        <v>14</v>
      </c>
      <c r="B25" s="20">
        <f t="shared" si="0"/>
        <v>174.61411571650203</v>
      </c>
      <c r="C25" s="2"/>
      <c r="D25" s="5">
        <f t="shared" si="5"/>
        <v>53</v>
      </c>
      <c r="Q25" s="18"/>
      <c r="R25" s="18"/>
      <c r="S25" s="18"/>
      <c r="T25" s="27"/>
      <c r="U25" s="27"/>
      <c r="V25" s="28"/>
      <c r="W25" s="26"/>
      <c r="X25" s="26"/>
      <c r="Y25" s="24"/>
    </row>
    <row r="26" spans="1:25">
      <c r="A26" t="s">
        <v>15</v>
      </c>
      <c r="B26" s="20">
        <f t="shared" si="0"/>
        <v>184.99721135581729</v>
      </c>
      <c r="C26" s="3"/>
      <c r="D26" s="5">
        <f t="shared" si="5"/>
        <v>54</v>
      </c>
      <c r="Q26" s="18"/>
      <c r="R26" s="18"/>
      <c r="S26" s="18"/>
      <c r="T26" s="27"/>
      <c r="U26" s="27"/>
      <c r="V26" s="27"/>
      <c r="W26" s="26"/>
      <c r="X26" s="26"/>
      <c r="Y26" s="24"/>
    </row>
    <row r="27" spans="1:25">
      <c r="A27" t="s">
        <v>16</v>
      </c>
      <c r="B27" s="20">
        <f t="shared" si="0"/>
        <v>195.99771799087475</v>
      </c>
      <c r="C27" s="2"/>
      <c r="D27" s="5">
        <f t="shared" si="5"/>
        <v>55</v>
      </c>
      <c r="Q27" s="18"/>
      <c r="R27" s="18"/>
      <c r="S27" s="18"/>
      <c r="T27" s="27"/>
      <c r="U27" s="27"/>
      <c r="V27" s="28"/>
      <c r="W27" s="26"/>
      <c r="X27" s="26"/>
      <c r="Y27" s="24"/>
    </row>
    <row r="28" spans="1:25">
      <c r="A28" t="s">
        <v>17</v>
      </c>
      <c r="B28" s="20">
        <f t="shared" si="0"/>
        <v>207.65234878997268</v>
      </c>
      <c r="C28" s="3"/>
      <c r="D28" s="5">
        <f t="shared" si="5"/>
        <v>56</v>
      </c>
      <c r="Q28" s="18"/>
      <c r="R28" s="18"/>
      <c r="S28" s="18"/>
      <c r="T28" s="27"/>
      <c r="U28" s="27"/>
      <c r="V28" s="28"/>
      <c r="W28" s="26"/>
      <c r="X28" s="26"/>
      <c r="Y28" s="24"/>
    </row>
    <row r="29" spans="1:25">
      <c r="A29" t="s">
        <v>2</v>
      </c>
      <c r="B29" s="20">
        <f t="shared" si="0"/>
        <v>220.00000000000011</v>
      </c>
      <c r="C29" s="2"/>
      <c r="D29" s="5">
        <f t="shared" si="5"/>
        <v>57</v>
      </c>
      <c r="Q29" s="18"/>
      <c r="R29" s="18"/>
      <c r="S29" s="18"/>
      <c r="T29" s="27"/>
      <c r="U29" s="27"/>
      <c r="V29" s="27"/>
      <c r="W29" s="26"/>
      <c r="X29" s="26"/>
      <c r="Y29" s="24"/>
    </row>
    <row r="30" spans="1:25">
      <c r="A30" t="s">
        <v>8</v>
      </c>
      <c r="B30" s="20">
        <f t="shared" si="0"/>
        <v>233.08188075904508</v>
      </c>
      <c r="C30" s="3"/>
      <c r="D30" s="5">
        <f t="shared" si="5"/>
        <v>58</v>
      </c>
      <c r="Q30" s="18"/>
      <c r="R30" s="18"/>
      <c r="S30" s="18"/>
      <c r="T30" s="27"/>
      <c r="U30" s="27"/>
      <c r="V30" s="28"/>
      <c r="W30" s="26"/>
      <c r="X30" s="26"/>
      <c r="Y30" s="24"/>
    </row>
    <row r="31" spans="1:25">
      <c r="A31" t="s">
        <v>9</v>
      </c>
      <c r="B31" s="20">
        <f t="shared" si="0"/>
        <v>246.94165062806221</v>
      </c>
      <c r="C31" s="2"/>
      <c r="D31" s="5">
        <f t="shared" si="5"/>
        <v>59</v>
      </c>
      <c r="Q31" s="18"/>
      <c r="R31" s="18"/>
      <c r="S31" s="18"/>
      <c r="T31" s="27"/>
      <c r="U31" s="27"/>
      <c r="V31" s="28"/>
      <c r="W31" s="26"/>
      <c r="X31" s="26"/>
      <c r="Y31" s="24"/>
    </row>
    <row r="32" spans="1:25">
      <c r="A32" s="13" t="s">
        <v>28</v>
      </c>
      <c r="B32" s="21">
        <f t="shared" si="0"/>
        <v>261.62556530059879</v>
      </c>
      <c r="C32" s="14"/>
      <c r="D32" s="5">
        <f t="shared" si="5"/>
        <v>60</v>
      </c>
      <c r="Q32" s="18"/>
      <c r="R32" s="18"/>
      <c r="S32" s="18"/>
      <c r="T32" s="27"/>
      <c r="U32" s="27"/>
      <c r="V32" s="27"/>
      <c r="W32" s="26"/>
      <c r="X32" s="26"/>
      <c r="Y32" s="24"/>
    </row>
    <row r="33" spans="1:25">
      <c r="A33" t="s">
        <v>10</v>
      </c>
      <c r="B33" s="20">
        <f t="shared" si="0"/>
        <v>277.1826309768723</v>
      </c>
      <c r="C33" s="3"/>
      <c r="D33" s="5">
        <f t="shared" si="5"/>
        <v>61</v>
      </c>
      <c r="Q33" s="18"/>
      <c r="R33" s="18"/>
      <c r="S33" s="18"/>
      <c r="T33" s="27"/>
      <c r="U33" s="27"/>
      <c r="V33" s="28"/>
      <c r="W33" s="26"/>
      <c r="X33" s="26"/>
      <c r="Y33" s="24"/>
    </row>
    <row r="34" spans="1:25">
      <c r="A34" t="s">
        <v>11</v>
      </c>
      <c r="B34" s="20">
        <f t="shared" si="0"/>
        <v>293.6647679174078</v>
      </c>
      <c r="C34" s="2"/>
      <c r="D34" s="5">
        <f t="shared" si="5"/>
        <v>62</v>
      </c>
      <c r="Q34" s="18"/>
      <c r="R34" s="18"/>
      <c r="S34" s="18"/>
      <c r="T34" s="27"/>
      <c r="U34" s="27"/>
      <c r="V34" s="27"/>
      <c r="W34" s="26"/>
      <c r="X34" s="26"/>
      <c r="Y34" s="24"/>
    </row>
    <row r="35" spans="1:25">
      <c r="A35" t="s">
        <v>12</v>
      </c>
      <c r="B35" s="20">
        <f t="shared" si="0"/>
        <v>311.12698372208121</v>
      </c>
      <c r="C35" s="3"/>
      <c r="D35" s="5">
        <f t="shared" si="5"/>
        <v>63</v>
      </c>
      <c r="Q35" s="18"/>
      <c r="R35" s="18"/>
      <c r="S35" s="18"/>
      <c r="T35" s="27"/>
      <c r="U35" s="27"/>
      <c r="V35" s="28"/>
      <c r="W35" s="26"/>
      <c r="X35" s="26"/>
      <c r="Y35" s="24"/>
    </row>
    <row r="36" spans="1:25">
      <c r="A36" t="s">
        <v>13</v>
      </c>
      <c r="B36" s="20">
        <f t="shared" si="0"/>
        <v>329.62755691287026</v>
      </c>
      <c r="C36" s="2"/>
      <c r="D36" s="5">
        <f t="shared" si="5"/>
        <v>64</v>
      </c>
      <c r="Q36" s="16"/>
      <c r="R36" s="16"/>
      <c r="S36" s="16"/>
      <c r="T36" s="16"/>
      <c r="U36" s="25"/>
      <c r="V36" s="25"/>
      <c r="W36" s="16"/>
      <c r="X36" s="16"/>
    </row>
    <row r="37" spans="1:25">
      <c r="A37" t="s">
        <v>14</v>
      </c>
      <c r="B37" s="20">
        <f t="shared" si="0"/>
        <v>349.22823143300423</v>
      </c>
      <c r="C37" s="2"/>
      <c r="D37" s="5">
        <f t="shared" si="5"/>
        <v>65</v>
      </c>
      <c r="Q37" s="16"/>
      <c r="R37" s="16"/>
      <c r="S37" s="16"/>
      <c r="T37" s="16"/>
      <c r="U37" s="25"/>
      <c r="V37" s="25"/>
      <c r="W37" s="16"/>
      <c r="X37" s="16"/>
    </row>
    <row r="38" spans="1:25">
      <c r="A38" t="s">
        <v>15</v>
      </c>
      <c r="B38" s="20">
        <f t="shared" si="0"/>
        <v>369.9944227116348</v>
      </c>
      <c r="C38" s="3"/>
      <c r="D38" s="5">
        <f t="shared" si="5"/>
        <v>66</v>
      </c>
    </row>
    <row r="39" spans="1:25">
      <c r="A39" t="s">
        <v>16</v>
      </c>
      <c r="B39" s="20">
        <f t="shared" si="0"/>
        <v>391.99543598174972</v>
      </c>
      <c r="C39" s="2"/>
      <c r="D39" s="5">
        <f t="shared" si="5"/>
        <v>67</v>
      </c>
    </row>
    <row r="40" spans="1:25">
      <c r="A40" t="s">
        <v>17</v>
      </c>
      <c r="B40" s="20">
        <f t="shared" si="0"/>
        <v>415.30469757994558</v>
      </c>
      <c r="C40" s="3"/>
      <c r="D40" s="5">
        <f t="shared" si="5"/>
        <v>68</v>
      </c>
    </row>
    <row r="41" spans="1:25">
      <c r="A41" t="s">
        <v>0</v>
      </c>
      <c r="B41" s="20">
        <f t="shared" si="0"/>
        <v>440.00000000000051</v>
      </c>
      <c r="C41" s="2"/>
      <c r="D41" s="5">
        <f t="shared" si="5"/>
        <v>69</v>
      </c>
    </row>
    <row r="42" spans="1:25">
      <c r="A42" t="s">
        <v>8</v>
      </c>
      <c r="B42" s="20">
        <f t="shared" si="0"/>
        <v>466.1637615180905</v>
      </c>
      <c r="C42" s="3"/>
      <c r="D42" s="5">
        <f t="shared" si="5"/>
        <v>70</v>
      </c>
    </row>
    <row r="43" spans="1:25">
      <c r="A43" t="s">
        <v>9</v>
      </c>
      <c r="B43" s="20">
        <f t="shared" si="0"/>
        <v>493.88330125612475</v>
      </c>
      <c r="C43" s="2"/>
      <c r="D43" s="5">
        <f t="shared" si="5"/>
        <v>71</v>
      </c>
    </row>
    <row r="44" spans="1:25">
      <c r="A44" s="13" t="s">
        <v>29</v>
      </c>
      <c r="B44" s="21">
        <f t="shared" si="0"/>
        <v>523.25113060119793</v>
      </c>
      <c r="C44" s="14"/>
      <c r="D44" s="5">
        <f t="shared" si="5"/>
        <v>72</v>
      </c>
    </row>
    <row r="45" spans="1:25">
      <c r="A45" t="s">
        <v>10</v>
      </c>
      <c r="B45" s="20">
        <f t="shared" si="0"/>
        <v>554.36526195374495</v>
      </c>
      <c r="C45" s="3"/>
      <c r="D45" s="5">
        <f t="shared" si="5"/>
        <v>73</v>
      </c>
    </row>
    <row r="46" spans="1:25">
      <c r="A46" t="s">
        <v>11</v>
      </c>
      <c r="B46" s="20">
        <f t="shared" si="0"/>
        <v>587.32953583481594</v>
      </c>
      <c r="C46" s="2"/>
      <c r="D46" s="5">
        <f t="shared" si="5"/>
        <v>74</v>
      </c>
    </row>
    <row r="47" spans="1:25">
      <c r="A47" t="s">
        <v>12</v>
      </c>
      <c r="B47" s="20">
        <f t="shared" si="0"/>
        <v>622.25396744416275</v>
      </c>
      <c r="C47" s="3"/>
      <c r="D47" s="5">
        <f t="shared" si="5"/>
        <v>75</v>
      </c>
    </row>
    <row r="48" spans="1:25">
      <c r="A48" t="s">
        <v>13</v>
      </c>
      <c r="B48" s="20">
        <f t="shared" si="0"/>
        <v>659.25511382574086</v>
      </c>
      <c r="C48" s="2"/>
      <c r="D48" s="5">
        <f t="shared" si="5"/>
        <v>76</v>
      </c>
    </row>
    <row r="49" spans="1:4">
      <c r="A49" t="s">
        <v>14</v>
      </c>
      <c r="B49" s="20">
        <f t="shared" si="0"/>
        <v>698.45646286600891</v>
      </c>
      <c r="C49" s="2"/>
      <c r="D49" s="5">
        <f t="shared" si="5"/>
        <v>77</v>
      </c>
    </row>
    <row r="50" spans="1:4">
      <c r="A50" t="s">
        <v>15</v>
      </c>
      <c r="B50" s="20">
        <f t="shared" si="0"/>
        <v>739.98884542327005</v>
      </c>
      <c r="C50" s="3"/>
      <c r="D50" s="5">
        <f t="shared" si="5"/>
        <v>78</v>
      </c>
    </row>
    <row r="51" spans="1:4">
      <c r="A51" t="s">
        <v>16</v>
      </c>
      <c r="B51" s="20">
        <f t="shared" si="0"/>
        <v>783.9908719634999</v>
      </c>
      <c r="C51" s="2"/>
      <c r="D51" s="5">
        <f>D50+1</f>
        <v>79</v>
      </c>
    </row>
    <row r="52" spans="1:4">
      <c r="A52" t="s">
        <v>17</v>
      </c>
      <c r="B52" s="20">
        <f t="shared" si="0"/>
        <v>830.60939515989173</v>
      </c>
      <c r="C52" s="3"/>
      <c r="D52" s="5">
        <f t="shared" si="5"/>
        <v>80</v>
      </c>
    </row>
    <row r="53" spans="1:4">
      <c r="A53" t="s">
        <v>4</v>
      </c>
      <c r="B53" s="20">
        <f t="shared" si="0"/>
        <v>880.00000000000159</v>
      </c>
      <c r="C53" s="2"/>
      <c r="D53" s="5">
        <f t="shared" si="5"/>
        <v>81</v>
      </c>
    </row>
    <row r="54" spans="1:4">
      <c r="A54" t="s">
        <v>8</v>
      </c>
      <c r="B54" s="20">
        <f t="shared" si="0"/>
        <v>932.32752303618156</v>
      </c>
      <c r="C54" s="3"/>
      <c r="D54" s="5">
        <f t="shared" si="5"/>
        <v>82</v>
      </c>
    </row>
    <row r="55" spans="1:4">
      <c r="A55" t="s">
        <v>9</v>
      </c>
      <c r="B55" s="20">
        <f t="shared" si="0"/>
        <v>987.76660251225007</v>
      </c>
      <c r="C55" s="2"/>
      <c r="D55" s="5">
        <f t="shared" si="5"/>
        <v>83</v>
      </c>
    </row>
    <row r="56" spans="1:4">
      <c r="A56" s="13" t="s">
        <v>30</v>
      </c>
      <c r="B56" s="21">
        <f t="shared" si="0"/>
        <v>1046.5022612023965</v>
      </c>
      <c r="C56" s="14"/>
      <c r="D56" s="5">
        <f t="shared" si="5"/>
        <v>84</v>
      </c>
    </row>
    <row r="57" spans="1:4">
      <c r="A57" t="s">
        <v>10</v>
      </c>
      <c r="B57" s="20">
        <f t="shared" si="0"/>
        <v>1108.7305239074906</v>
      </c>
      <c r="C57" s="3"/>
      <c r="D57" s="5">
        <f t="shared" si="5"/>
        <v>85</v>
      </c>
    </row>
    <row r="58" spans="1:4">
      <c r="A58" t="s">
        <v>11</v>
      </c>
      <c r="B58" s="20">
        <f t="shared" si="0"/>
        <v>1174.6590716696326</v>
      </c>
      <c r="C58" s="2"/>
      <c r="D58" s="5">
        <f t="shared" si="5"/>
        <v>86</v>
      </c>
    </row>
    <row r="59" spans="1:4">
      <c r="A59" t="s">
        <v>12</v>
      </c>
      <c r="B59" s="20">
        <f t="shared" si="0"/>
        <v>1244.5079348883262</v>
      </c>
      <c r="C59" s="3"/>
      <c r="D59" s="5">
        <f t="shared" si="5"/>
        <v>87</v>
      </c>
    </row>
    <row r="60" spans="1:4">
      <c r="A60" t="s">
        <v>13</v>
      </c>
      <c r="B60" s="20">
        <f t="shared" si="0"/>
        <v>1318.5102276514824</v>
      </c>
      <c r="C60" s="2"/>
      <c r="D60" s="5">
        <f t="shared" si="5"/>
        <v>88</v>
      </c>
    </row>
    <row r="61" spans="1:4">
      <c r="A61" t="s">
        <v>14</v>
      </c>
      <c r="B61" s="20">
        <f t="shared" si="0"/>
        <v>1396.9129257320185</v>
      </c>
      <c r="C61" s="2"/>
      <c r="D61" s="5">
        <f t="shared" si="5"/>
        <v>89</v>
      </c>
    </row>
    <row r="62" spans="1:4">
      <c r="A62" t="s">
        <v>15</v>
      </c>
      <c r="B62" s="20">
        <f t="shared" si="0"/>
        <v>1479.9776908465408</v>
      </c>
      <c r="C62" s="3"/>
      <c r="D62" s="5">
        <f t="shared" si="5"/>
        <v>90</v>
      </c>
    </row>
    <row r="63" spans="1:4">
      <c r="A63" t="s">
        <v>16</v>
      </c>
      <c r="B63" s="20">
        <f t="shared" si="0"/>
        <v>1567.9817439270007</v>
      </c>
      <c r="C63" s="2"/>
      <c r="D63" s="5">
        <f t="shared" si="5"/>
        <v>91</v>
      </c>
    </row>
    <row r="64" spans="1:4">
      <c r="A64" t="s">
        <v>17</v>
      </c>
      <c r="B64" s="20">
        <f t="shared" si="0"/>
        <v>1661.2187903197844</v>
      </c>
      <c r="C64" s="3"/>
      <c r="D64" s="5">
        <f t="shared" si="5"/>
        <v>92</v>
      </c>
    </row>
    <row r="65" spans="1:4">
      <c r="A65" t="s">
        <v>5</v>
      </c>
      <c r="B65" s="20">
        <f t="shared" si="0"/>
        <v>1760.0000000000041</v>
      </c>
      <c r="C65" s="2"/>
      <c r="D65" s="5">
        <f t="shared" si="5"/>
        <v>93</v>
      </c>
    </row>
    <row r="66" spans="1:4">
      <c r="A66" t="s">
        <v>8</v>
      </c>
      <c r="B66" s="20">
        <f t="shared" si="0"/>
        <v>1864.655046072364</v>
      </c>
      <c r="C66" s="3"/>
      <c r="D66" s="5">
        <f t="shared" si="5"/>
        <v>94</v>
      </c>
    </row>
    <row r="67" spans="1:4">
      <c r="A67" t="s">
        <v>9</v>
      </c>
      <c r="B67" s="20">
        <f t="shared" si="0"/>
        <v>1975.5332050245011</v>
      </c>
      <c r="C67" s="2"/>
      <c r="D67" s="5">
        <f t="shared" si="5"/>
        <v>95</v>
      </c>
    </row>
    <row r="68" spans="1:4">
      <c r="A68" s="13" t="s">
        <v>31</v>
      </c>
      <c r="B68" s="21">
        <f t="shared" si="0"/>
        <v>2093.004522404794</v>
      </c>
      <c r="C68" s="14"/>
      <c r="D68" s="5">
        <f t="shared" si="5"/>
        <v>96</v>
      </c>
    </row>
    <row r="69" spans="1:4">
      <c r="A69" t="s">
        <v>10</v>
      </c>
      <c r="B69" s="20">
        <f t="shared" si="0"/>
        <v>2217.4610478149821</v>
      </c>
      <c r="C69" s="3"/>
      <c r="D69" s="5">
        <f t="shared" si="5"/>
        <v>97</v>
      </c>
    </row>
    <row r="70" spans="1:4">
      <c r="A70" t="s">
        <v>11</v>
      </c>
      <c r="B70" s="20">
        <f t="shared" si="0"/>
        <v>2349.318143339266</v>
      </c>
      <c r="C70" s="2"/>
      <c r="D70" s="5">
        <f t="shared" si="5"/>
        <v>98</v>
      </c>
    </row>
    <row r="71" spans="1:4">
      <c r="A71" t="s">
        <v>12</v>
      </c>
      <c r="B71" s="20">
        <f t="shared" ref="B71:B89" si="6">B70*2^(1/12)</f>
        <v>2489.0158697766533</v>
      </c>
      <c r="C71" s="3"/>
      <c r="D71" s="5">
        <f t="shared" si="5"/>
        <v>99</v>
      </c>
    </row>
    <row r="72" spans="1:4">
      <c r="A72" t="s">
        <v>13</v>
      </c>
      <c r="B72" s="20">
        <f t="shared" si="6"/>
        <v>2637.0204553029657</v>
      </c>
      <c r="C72" s="2"/>
      <c r="D72" s="5">
        <f t="shared" si="5"/>
        <v>100</v>
      </c>
    </row>
    <row r="73" spans="1:4">
      <c r="A73" t="s">
        <v>14</v>
      </c>
      <c r="B73" s="20">
        <f t="shared" si="6"/>
        <v>2793.8258514640379</v>
      </c>
      <c r="C73" s="2"/>
      <c r="D73" s="5">
        <f t="shared" si="5"/>
        <v>101</v>
      </c>
    </row>
    <row r="74" spans="1:4">
      <c r="A74" t="s">
        <v>15</v>
      </c>
      <c r="B74" s="20">
        <f t="shared" si="6"/>
        <v>2959.9553816930825</v>
      </c>
      <c r="C74" s="3"/>
      <c r="D74" s="5">
        <f t="shared" ref="D74:D86" si="7">D73+1</f>
        <v>102</v>
      </c>
    </row>
    <row r="75" spans="1:4">
      <c r="A75" t="s">
        <v>16</v>
      </c>
      <c r="B75" s="20">
        <f t="shared" si="6"/>
        <v>3135.9634878540023</v>
      </c>
      <c r="C75" s="2"/>
      <c r="D75" s="5">
        <f t="shared" si="7"/>
        <v>103</v>
      </c>
    </row>
    <row r="76" spans="1:4">
      <c r="A76" t="s">
        <v>17</v>
      </c>
      <c r="B76" s="20">
        <f t="shared" si="6"/>
        <v>3322.4375806395697</v>
      </c>
      <c r="C76" s="3"/>
      <c r="D76" s="5">
        <f t="shared" si="7"/>
        <v>104</v>
      </c>
    </row>
    <row r="77" spans="1:4">
      <c r="A77" t="s">
        <v>6</v>
      </c>
      <c r="B77" s="20">
        <f t="shared" si="6"/>
        <v>3520.0000000000091</v>
      </c>
      <c r="C77" s="2"/>
      <c r="D77" s="5">
        <f t="shared" si="7"/>
        <v>105</v>
      </c>
    </row>
    <row r="78" spans="1:4">
      <c r="A78" t="s">
        <v>8</v>
      </c>
      <c r="B78" s="20">
        <f t="shared" si="6"/>
        <v>3729.310092144729</v>
      </c>
      <c r="C78" s="3"/>
      <c r="D78" s="5">
        <f t="shared" si="7"/>
        <v>106</v>
      </c>
    </row>
    <row r="79" spans="1:4">
      <c r="A79" t="s">
        <v>9</v>
      </c>
      <c r="B79" s="20">
        <f t="shared" si="6"/>
        <v>3951.0664100490035</v>
      </c>
      <c r="C79" s="2"/>
      <c r="D79" s="5">
        <f t="shared" si="7"/>
        <v>107</v>
      </c>
    </row>
    <row r="80" spans="1:4">
      <c r="A80" s="13" t="s">
        <v>27</v>
      </c>
      <c r="B80" s="21">
        <f t="shared" si="6"/>
        <v>4186.0090448095898</v>
      </c>
      <c r="C80" s="14"/>
      <c r="D80" s="5">
        <f t="shared" si="7"/>
        <v>108</v>
      </c>
    </row>
    <row r="81" spans="1:4">
      <c r="A81" t="s">
        <v>10</v>
      </c>
      <c r="B81" s="20">
        <f t="shared" si="6"/>
        <v>4434.922095629966</v>
      </c>
      <c r="C81" s="3"/>
      <c r="D81" s="5">
        <f t="shared" si="7"/>
        <v>109</v>
      </c>
    </row>
    <row r="82" spans="1:4">
      <c r="A82" t="s">
        <v>11</v>
      </c>
      <c r="B82" s="20">
        <f t="shared" si="6"/>
        <v>4698.6362866785339</v>
      </c>
      <c r="C82" s="2"/>
      <c r="D82" s="5">
        <f t="shared" si="7"/>
        <v>110</v>
      </c>
    </row>
    <row r="83" spans="1:4">
      <c r="A83" t="s">
        <v>12</v>
      </c>
      <c r="B83" s="20">
        <f t="shared" si="6"/>
        <v>4978.0317395533084</v>
      </c>
      <c r="C83" s="3"/>
      <c r="D83" s="5">
        <f t="shared" si="7"/>
        <v>111</v>
      </c>
    </row>
    <row r="84" spans="1:4">
      <c r="A84" t="s">
        <v>13</v>
      </c>
      <c r="B84" s="20">
        <f t="shared" si="6"/>
        <v>5274.0409106059342</v>
      </c>
      <c r="C84" s="2"/>
      <c r="D84" s="5">
        <f t="shared" si="7"/>
        <v>112</v>
      </c>
    </row>
    <row r="85" spans="1:4">
      <c r="A85" t="s">
        <v>14</v>
      </c>
      <c r="B85" s="20">
        <f t="shared" si="6"/>
        <v>5587.6517029280785</v>
      </c>
      <c r="C85" s="2"/>
      <c r="D85" s="5">
        <f t="shared" si="7"/>
        <v>113</v>
      </c>
    </row>
    <row r="86" spans="1:4">
      <c r="A86" t="s">
        <v>15</v>
      </c>
      <c r="B86" s="20">
        <f t="shared" si="6"/>
        <v>5919.9107633861677</v>
      </c>
      <c r="C86" s="3"/>
      <c r="D86" s="5">
        <f t="shared" si="7"/>
        <v>114</v>
      </c>
    </row>
    <row r="87" spans="1:4">
      <c r="A87" t="s">
        <v>16</v>
      </c>
      <c r="B87" s="20">
        <f t="shared" si="6"/>
        <v>6271.9269757080074</v>
      </c>
      <c r="C87" s="2"/>
    </row>
    <row r="88" spans="1:4">
      <c r="A88" t="s">
        <v>17</v>
      </c>
      <c r="B88" s="20">
        <f t="shared" si="6"/>
        <v>6644.875161279142</v>
      </c>
      <c r="C88" s="3"/>
    </row>
    <row r="89" spans="1:4">
      <c r="A89" t="s">
        <v>26</v>
      </c>
      <c r="B89" s="20">
        <f t="shared" si="6"/>
        <v>7040.0000000000209</v>
      </c>
    </row>
    <row r="90" spans="1:4">
      <c r="C90" s="16"/>
    </row>
    <row r="91" spans="1:4">
      <c r="C91" s="16"/>
    </row>
    <row r="92" spans="1:4">
      <c r="C92" s="16"/>
    </row>
    <row r="93" spans="1:4">
      <c r="C93" s="16"/>
    </row>
    <row r="94" spans="1:4">
      <c r="C94" s="16"/>
    </row>
    <row r="95" spans="1:4">
      <c r="C95" s="16"/>
    </row>
    <row r="96" spans="1:4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workbookViewId="0">
      <selection activeCell="H33" sqref="H33:O46"/>
    </sheetView>
  </sheetViews>
  <sheetFormatPr baseColWidth="10" defaultRowHeight="15"/>
  <cols>
    <col min="6" max="6" width="9.5703125" customWidth="1"/>
    <col min="10" max="10" width="9.5703125" style="5" customWidth="1"/>
    <col min="11" max="12" width="8.42578125" style="5" customWidth="1"/>
    <col min="13" max="13" width="9.85546875" customWidth="1"/>
  </cols>
  <sheetData>
    <row r="1" spans="1:22" ht="15.75">
      <c r="A1" s="66" t="s">
        <v>184</v>
      </c>
    </row>
    <row r="3" spans="1:22">
      <c r="B3" t="s">
        <v>189</v>
      </c>
      <c r="H3" s="73" t="s">
        <v>190</v>
      </c>
    </row>
    <row r="4" spans="1:22">
      <c r="B4" s="5"/>
      <c r="C4" s="6" t="s">
        <v>161</v>
      </c>
      <c r="D4" s="5"/>
      <c r="E4" s="9" t="s">
        <v>85</v>
      </c>
      <c r="F4" s="9" t="s">
        <v>162</v>
      </c>
    </row>
    <row r="5" spans="1:22">
      <c r="B5" s="6" t="s">
        <v>163</v>
      </c>
      <c r="C5" s="6" t="s">
        <v>164</v>
      </c>
      <c r="D5" s="78" t="s">
        <v>165</v>
      </c>
      <c r="E5" s="9"/>
      <c r="F5" s="9"/>
      <c r="H5" s="6" t="s">
        <v>94</v>
      </c>
      <c r="I5" s="6" t="s">
        <v>19</v>
      </c>
      <c r="J5" s="6" t="s">
        <v>194</v>
      </c>
      <c r="K5" s="76" t="s">
        <v>244</v>
      </c>
      <c r="L5" s="77"/>
      <c r="M5" s="6" t="s">
        <v>194</v>
      </c>
      <c r="N5" s="6" t="s">
        <v>1</v>
      </c>
      <c r="O5" s="6" t="s">
        <v>232</v>
      </c>
      <c r="P5" s="6" t="s">
        <v>7</v>
      </c>
      <c r="Q5" s="6" t="s">
        <v>96</v>
      </c>
    </row>
    <row r="6" spans="1:22">
      <c r="B6" s="6">
        <v>12</v>
      </c>
      <c r="C6" s="96">
        <f t="shared" ref="C6:C16" si="0">C7*2/3</f>
        <v>2.0164389188475345</v>
      </c>
      <c r="D6" s="6" t="s">
        <v>185</v>
      </c>
      <c r="E6" s="9">
        <f t="shared" ref="E6:E16" si="1">E7-702</f>
        <v>-8424</v>
      </c>
      <c r="F6" s="9">
        <v>1176</v>
      </c>
      <c r="H6" s="103" t="s">
        <v>28</v>
      </c>
      <c r="I6" s="72">
        <v>0</v>
      </c>
      <c r="J6" s="72">
        <v>0</v>
      </c>
      <c r="K6" s="142"/>
      <c r="L6" s="143" t="s">
        <v>102</v>
      </c>
      <c r="M6" s="106" t="s">
        <v>81</v>
      </c>
      <c r="N6" s="103">
        <v>261.62556530059879</v>
      </c>
      <c r="O6" s="102">
        <v>261.62556530059879</v>
      </c>
      <c r="P6" s="6" t="s">
        <v>25</v>
      </c>
      <c r="Q6" s="8">
        <f>1200*(LN(O6/N6)/LN(2))</f>
        <v>0</v>
      </c>
      <c r="S6" s="1"/>
    </row>
    <row r="7" spans="1:22" ht="15.75" thickBot="1">
      <c r="B7" s="6">
        <v>11</v>
      </c>
      <c r="C7" s="96">
        <f t="shared" si="0"/>
        <v>3.0246583782713015</v>
      </c>
      <c r="D7" s="6" t="s">
        <v>186</v>
      </c>
      <c r="E7" s="9">
        <f t="shared" si="1"/>
        <v>-7722</v>
      </c>
      <c r="F7" s="9">
        <v>678</v>
      </c>
      <c r="H7" s="102" t="s">
        <v>188</v>
      </c>
      <c r="I7" s="9">
        <v>24</v>
      </c>
      <c r="J7" s="6">
        <f>I7-I6</f>
        <v>24</v>
      </c>
      <c r="K7" s="37"/>
      <c r="L7" s="111" t="s">
        <v>198</v>
      </c>
      <c r="M7" s="77"/>
      <c r="N7" s="96">
        <f t="shared" ref="N7:N31" si="2">261.625565*2^(I7/1200)</f>
        <v>265.27772178717242</v>
      </c>
      <c r="O7" s="102">
        <v>261.62556530059879</v>
      </c>
      <c r="P7" s="6" t="s">
        <v>28</v>
      </c>
      <c r="Q7" s="8">
        <f>1200*(LN(N7/O7)/LN(2))</f>
        <v>23.999998010871217</v>
      </c>
      <c r="S7" s="1"/>
    </row>
    <row r="8" spans="1:22">
      <c r="B8" s="6">
        <v>10</v>
      </c>
      <c r="C8" s="96">
        <f t="shared" si="0"/>
        <v>4.5369875674069524</v>
      </c>
      <c r="D8" s="78" t="s">
        <v>166</v>
      </c>
      <c r="E8" s="9">
        <f t="shared" si="1"/>
        <v>-7020</v>
      </c>
      <c r="F8" s="9">
        <v>180</v>
      </c>
      <c r="H8" s="96" t="s">
        <v>171</v>
      </c>
      <c r="I8" s="9">
        <v>90</v>
      </c>
      <c r="J8" s="78">
        <f t="shared" ref="J8:J31" si="3">I8-I7</f>
        <v>66</v>
      </c>
      <c r="K8" s="115" t="s">
        <v>197</v>
      </c>
      <c r="L8" s="111" t="s">
        <v>199</v>
      </c>
      <c r="M8" s="77"/>
      <c r="N8" s="96">
        <f t="shared" si="2"/>
        <v>275.58617618066921</v>
      </c>
      <c r="O8" s="96">
        <v>277.1826309768723</v>
      </c>
      <c r="P8" s="6" t="s">
        <v>10</v>
      </c>
      <c r="Q8" s="8">
        <f t="shared" ref="Q8:Q31" si="4">1200*(LN(N8/O8)/LN(2))</f>
        <v>-10.000001989128926</v>
      </c>
      <c r="S8" s="1"/>
    </row>
    <row r="9" spans="1:22" ht="15.75" thickBot="1">
      <c r="B9" s="6">
        <v>9</v>
      </c>
      <c r="C9" s="96">
        <f t="shared" si="0"/>
        <v>6.8054813511104291</v>
      </c>
      <c r="D9" s="86" t="s">
        <v>167</v>
      </c>
      <c r="E9" s="9">
        <f t="shared" si="1"/>
        <v>-6318</v>
      </c>
      <c r="F9" s="9">
        <v>882</v>
      </c>
      <c r="H9" s="96" t="s">
        <v>180</v>
      </c>
      <c r="I9" s="9">
        <v>114</v>
      </c>
      <c r="J9" s="78">
        <f t="shared" si="3"/>
        <v>24</v>
      </c>
      <c r="K9" s="116" t="s">
        <v>196</v>
      </c>
      <c r="L9" s="112" t="s">
        <v>200</v>
      </c>
      <c r="M9" s="77"/>
      <c r="N9" s="96">
        <f t="shared" si="2"/>
        <v>279.43321583747468</v>
      </c>
      <c r="O9" s="96">
        <v>277.1826309768723</v>
      </c>
      <c r="P9" s="6" t="s">
        <v>10</v>
      </c>
      <c r="Q9" s="8">
        <f t="shared" si="4"/>
        <v>13.999998010871227</v>
      </c>
      <c r="S9" s="1"/>
      <c r="T9" s="61" t="s">
        <v>229</v>
      </c>
    </row>
    <row r="10" spans="1:22">
      <c r="B10" s="6">
        <v>8</v>
      </c>
      <c r="C10" s="96">
        <f t="shared" si="0"/>
        <v>10.208222026665643</v>
      </c>
      <c r="D10" s="86" t="s">
        <v>168</v>
      </c>
      <c r="E10" s="9">
        <f t="shared" si="1"/>
        <v>-5616</v>
      </c>
      <c r="F10" s="9">
        <v>384</v>
      </c>
      <c r="H10" s="6" t="s">
        <v>166</v>
      </c>
      <c r="I10" s="9">
        <v>180</v>
      </c>
      <c r="J10" s="78">
        <f t="shared" si="3"/>
        <v>66</v>
      </c>
      <c r="K10" s="117" t="s">
        <v>195</v>
      </c>
      <c r="L10" s="58"/>
      <c r="M10" s="6"/>
      <c r="N10" s="96">
        <f t="shared" si="2"/>
        <v>290.29174003650166</v>
      </c>
      <c r="O10" s="96">
        <v>293.6647679174078</v>
      </c>
      <c r="P10" s="6" t="s">
        <v>11</v>
      </c>
      <c r="Q10" s="8">
        <f t="shared" si="4"/>
        <v>-20.000001989128904</v>
      </c>
      <c r="S10" s="1"/>
    </row>
    <row r="11" spans="1:22" ht="15.75" thickBot="1">
      <c r="B11" s="6">
        <v>7</v>
      </c>
      <c r="C11" s="96">
        <f t="shared" si="0"/>
        <v>15.312333039998466</v>
      </c>
      <c r="D11" s="86" t="s">
        <v>169</v>
      </c>
      <c r="E11" s="9">
        <f t="shared" si="1"/>
        <v>-4914</v>
      </c>
      <c r="F11" s="9">
        <v>1086</v>
      </c>
      <c r="H11" s="103" t="s">
        <v>176</v>
      </c>
      <c r="I11" s="72">
        <v>204</v>
      </c>
      <c r="J11" s="104">
        <f t="shared" si="3"/>
        <v>24</v>
      </c>
      <c r="K11" s="117" t="s">
        <v>11</v>
      </c>
      <c r="L11" s="107"/>
      <c r="M11" s="72" t="s">
        <v>82</v>
      </c>
      <c r="N11" s="103">
        <f t="shared" si="2"/>
        <v>294.34406171475359</v>
      </c>
      <c r="O11" s="96">
        <v>293.6647679174078</v>
      </c>
      <c r="P11" s="6" t="s">
        <v>11</v>
      </c>
      <c r="Q11" s="8">
        <f t="shared" si="4"/>
        <v>3.9999980108709408</v>
      </c>
      <c r="S11" s="1"/>
    </row>
    <row r="12" spans="1:22" ht="18.75">
      <c r="B12" s="79">
        <v>6</v>
      </c>
      <c r="C12" s="97">
        <f t="shared" si="0"/>
        <v>22.968499559997699</v>
      </c>
      <c r="D12" s="98" t="s">
        <v>170</v>
      </c>
      <c r="E12" s="9">
        <f t="shared" si="1"/>
        <v>-4212</v>
      </c>
      <c r="F12" s="9">
        <v>588</v>
      </c>
      <c r="H12" s="96" t="s">
        <v>173</v>
      </c>
      <c r="I12" s="9">
        <v>294</v>
      </c>
      <c r="J12" s="78">
        <f t="shared" si="3"/>
        <v>90</v>
      </c>
      <c r="K12" s="116" t="s">
        <v>201</v>
      </c>
      <c r="L12" s="110" t="s">
        <v>205</v>
      </c>
      <c r="M12" s="77"/>
      <c r="N12" s="96">
        <f t="shared" si="2"/>
        <v>310.05056577500699</v>
      </c>
      <c r="O12" s="96">
        <v>311.12698372208121</v>
      </c>
      <c r="P12" s="6" t="s">
        <v>12</v>
      </c>
      <c r="Q12" s="8">
        <f t="shared" si="4"/>
        <v>-6.0000019891291494</v>
      </c>
      <c r="S12" s="1"/>
      <c r="T12" s="54">
        <v>-114</v>
      </c>
      <c r="V12" s="54">
        <v>24</v>
      </c>
    </row>
    <row r="13" spans="1:22" ht="19.5" thickBot="1">
      <c r="B13" s="6">
        <v>5</v>
      </c>
      <c r="C13" s="96">
        <f t="shared" si="0"/>
        <v>34.452749339996551</v>
      </c>
      <c r="D13" s="86" t="s">
        <v>171</v>
      </c>
      <c r="E13" s="9">
        <f t="shared" si="1"/>
        <v>-3510</v>
      </c>
      <c r="F13" s="9">
        <v>90</v>
      </c>
      <c r="H13" s="96" t="s">
        <v>182</v>
      </c>
      <c r="I13" s="9">
        <v>318</v>
      </c>
      <c r="J13" s="78">
        <f t="shared" si="3"/>
        <v>24</v>
      </c>
      <c r="K13" s="118" t="s">
        <v>202</v>
      </c>
      <c r="L13" s="111" t="s">
        <v>204</v>
      </c>
      <c r="M13" s="77"/>
      <c r="N13" s="96">
        <f t="shared" si="2"/>
        <v>314.37871038183033</v>
      </c>
      <c r="O13" s="96">
        <v>311.12698372208121</v>
      </c>
      <c r="P13" s="6" t="s">
        <v>12</v>
      </c>
      <c r="Q13" s="8">
        <f t="shared" si="4"/>
        <v>17.999998010871181</v>
      </c>
      <c r="S13" s="1"/>
      <c r="T13" s="54"/>
      <c r="V13" s="54"/>
    </row>
    <row r="14" spans="1:22" ht="18.75">
      <c r="B14" s="6">
        <v>4</v>
      </c>
      <c r="C14" s="96">
        <f t="shared" si="0"/>
        <v>51.67912400999483</v>
      </c>
      <c r="D14" s="86" t="s">
        <v>172</v>
      </c>
      <c r="E14" s="9">
        <f t="shared" si="1"/>
        <v>-2808</v>
      </c>
      <c r="F14" s="9">
        <v>792</v>
      </c>
      <c r="H14" s="96" t="s">
        <v>168</v>
      </c>
      <c r="I14" s="9">
        <v>384</v>
      </c>
      <c r="J14" s="78">
        <f t="shared" si="3"/>
        <v>66</v>
      </c>
      <c r="K14" s="123" t="s">
        <v>210</v>
      </c>
      <c r="L14" s="113" t="s">
        <v>203</v>
      </c>
      <c r="M14" s="77"/>
      <c r="N14" s="96">
        <f t="shared" si="2"/>
        <v>326.59518516314432</v>
      </c>
      <c r="O14" s="96">
        <v>329.62755691287026</v>
      </c>
      <c r="P14" s="6" t="s">
        <v>13</v>
      </c>
      <c r="Q14" s="8">
        <f t="shared" si="4"/>
        <v>-16.000001989129416</v>
      </c>
      <c r="S14" s="1"/>
      <c r="T14" s="54">
        <v>-90</v>
      </c>
      <c r="V14" s="54">
        <v>90</v>
      </c>
    </row>
    <row r="15" spans="1:22" ht="18.75">
      <c r="B15" s="6">
        <v>3</v>
      </c>
      <c r="C15" s="96">
        <f t="shared" si="0"/>
        <v>77.518686014992241</v>
      </c>
      <c r="D15" s="86" t="s">
        <v>173</v>
      </c>
      <c r="E15" s="9">
        <f t="shared" si="1"/>
        <v>-2106</v>
      </c>
      <c r="F15" s="9">
        <v>294</v>
      </c>
      <c r="H15" s="103" t="s">
        <v>177</v>
      </c>
      <c r="I15" s="72">
        <v>408</v>
      </c>
      <c r="J15" s="104">
        <f t="shared" si="3"/>
        <v>24</v>
      </c>
      <c r="K15" s="124" t="s">
        <v>209</v>
      </c>
      <c r="L15" s="113" t="s">
        <v>13</v>
      </c>
      <c r="M15" s="106" t="s">
        <v>91</v>
      </c>
      <c r="N15" s="103">
        <f t="shared" si="2"/>
        <v>331.15428404995009</v>
      </c>
      <c r="O15" s="96">
        <v>329.62755691287026</v>
      </c>
      <c r="P15" s="6" t="s">
        <v>13</v>
      </c>
      <c r="Q15" s="8">
        <f t="shared" si="4"/>
        <v>7.9999980108707698</v>
      </c>
      <c r="S15" s="1"/>
      <c r="V15" s="54"/>
    </row>
    <row r="16" spans="1:22" ht="18.75">
      <c r="B16" s="6">
        <v>2</v>
      </c>
      <c r="C16" s="96">
        <f t="shared" si="0"/>
        <v>116.27802902248835</v>
      </c>
      <c r="D16" s="86" t="s">
        <v>174</v>
      </c>
      <c r="E16" s="9">
        <f t="shared" si="1"/>
        <v>-1404</v>
      </c>
      <c r="F16" s="9">
        <v>996</v>
      </c>
      <c r="H16" s="103" t="s">
        <v>76</v>
      </c>
      <c r="I16" s="72">
        <v>498</v>
      </c>
      <c r="J16" s="104">
        <f t="shared" si="3"/>
        <v>90</v>
      </c>
      <c r="K16" s="124" t="s">
        <v>14</v>
      </c>
      <c r="L16" s="113" t="s">
        <v>230</v>
      </c>
      <c r="M16" s="106" t="s">
        <v>116</v>
      </c>
      <c r="N16" s="103">
        <f t="shared" si="2"/>
        <v>348.82501970773734</v>
      </c>
      <c r="O16" s="96">
        <v>349.22823143300423</v>
      </c>
      <c r="P16" s="6" t="s">
        <v>14</v>
      </c>
      <c r="Q16" s="8">
        <f t="shared" si="4"/>
        <v>-2.0000019891294532</v>
      </c>
      <c r="S16" s="1"/>
      <c r="T16" s="54"/>
      <c r="V16" s="54"/>
    </row>
    <row r="17" spans="2:22" ht="19.5" thickBot="1">
      <c r="B17" s="6">
        <v>1</v>
      </c>
      <c r="C17" s="96">
        <f>C18*2/3</f>
        <v>174.41704353373254</v>
      </c>
      <c r="D17" s="86" t="s">
        <v>76</v>
      </c>
      <c r="E17" s="9">
        <f>E18-702</f>
        <v>-702</v>
      </c>
      <c r="F17" s="9">
        <v>498</v>
      </c>
      <c r="H17" s="102" t="s">
        <v>187</v>
      </c>
      <c r="I17" s="9">
        <v>522</v>
      </c>
      <c r="J17" s="78">
        <f t="shared" si="3"/>
        <v>24</v>
      </c>
      <c r="K17" s="124" t="s">
        <v>206</v>
      </c>
      <c r="L17" s="114" t="s">
        <v>231</v>
      </c>
      <c r="M17" s="77"/>
      <c r="N17" s="96">
        <f t="shared" si="2"/>
        <v>353.69443552060403</v>
      </c>
      <c r="O17" s="96">
        <v>349.22823143300423</v>
      </c>
      <c r="P17" s="6" t="s">
        <v>14</v>
      </c>
      <c r="Q17" s="8">
        <f t="shared" si="4"/>
        <v>21.99999801087074</v>
      </c>
      <c r="S17" s="1"/>
      <c r="T17" s="54">
        <v>-24</v>
      </c>
      <c r="V17" s="54">
        <v>114</v>
      </c>
    </row>
    <row r="18" spans="2:22">
      <c r="B18" s="99">
        <v>0</v>
      </c>
      <c r="C18" s="100">
        <v>261.62556530059879</v>
      </c>
      <c r="D18" s="101" t="s">
        <v>28</v>
      </c>
      <c r="E18" s="9">
        <v>0</v>
      </c>
      <c r="F18" s="9">
        <v>0</v>
      </c>
      <c r="H18" s="102" t="s">
        <v>170</v>
      </c>
      <c r="I18" s="9">
        <v>588</v>
      </c>
      <c r="J18" s="78">
        <f t="shared" si="3"/>
        <v>66</v>
      </c>
      <c r="K18" s="125" t="s">
        <v>207</v>
      </c>
      <c r="L18" s="119" t="s">
        <v>213</v>
      </c>
      <c r="M18" s="77"/>
      <c r="N18" s="96">
        <f t="shared" si="2"/>
        <v>367.43868412630832</v>
      </c>
      <c r="O18" s="96">
        <v>369.9944227116348</v>
      </c>
      <c r="P18" s="6" t="s">
        <v>15</v>
      </c>
      <c r="Q18" s="8">
        <f t="shared" si="4"/>
        <v>-12.000001989129178</v>
      </c>
      <c r="S18" s="1"/>
    </row>
    <row r="19" spans="2:22" ht="15.75" thickBot="1">
      <c r="B19" s="6">
        <v>1</v>
      </c>
      <c r="C19" s="96">
        <f>C18*3/2</f>
        <v>392.43834795089822</v>
      </c>
      <c r="D19" s="86" t="s">
        <v>175</v>
      </c>
      <c r="E19" s="9">
        <f>E18+702</f>
        <v>702</v>
      </c>
      <c r="F19" s="9">
        <v>702</v>
      </c>
      <c r="H19" s="102" t="s">
        <v>179</v>
      </c>
      <c r="I19" s="9">
        <v>612</v>
      </c>
      <c r="J19" s="78">
        <f t="shared" si="3"/>
        <v>24</v>
      </c>
      <c r="K19" s="126" t="s">
        <v>208</v>
      </c>
      <c r="L19" s="117" t="s">
        <v>212</v>
      </c>
      <c r="M19" s="77"/>
      <c r="N19" s="96">
        <f t="shared" si="2"/>
        <v>372.56793701144437</v>
      </c>
      <c r="O19" s="96">
        <v>369.9944227116348</v>
      </c>
      <c r="P19" s="6" t="s">
        <v>15</v>
      </c>
      <c r="Q19" s="8">
        <f t="shared" si="4"/>
        <v>11.999998010870391</v>
      </c>
      <c r="S19" s="1"/>
    </row>
    <row r="20" spans="2:22">
      <c r="B20" s="6">
        <v>2</v>
      </c>
      <c r="C20" s="96">
        <f t="shared" ref="C20:C30" si="5">C19*3/2</f>
        <v>588.65752192634727</v>
      </c>
      <c r="D20" s="86" t="s">
        <v>176</v>
      </c>
      <c r="E20" s="9">
        <f t="shared" ref="E20:E30" si="6">E19+702</f>
        <v>1404</v>
      </c>
      <c r="F20" s="9">
        <v>204</v>
      </c>
      <c r="H20" s="6" t="s">
        <v>186</v>
      </c>
      <c r="I20" s="9">
        <v>678</v>
      </c>
      <c r="J20" s="6">
        <f t="shared" si="3"/>
        <v>66</v>
      </c>
      <c r="K20" s="34"/>
      <c r="L20" s="117" t="s">
        <v>211</v>
      </c>
      <c r="M20" s="77"/>
      <c r="N20" s="96">
        <f t="shared" si="2"/>
        <v>387.0455929611698</v>
      </c>
      <c r="O20" s="96">
        <v>391.99543598174972</v>
      </c>
      <c r="P20" s="6" t="s">
        <v>16</v>
      </c>
      <c r="Q20" s="8">
        <f t="shared" si="4"/>
        <v>-22.000001989129377</v>
      </c>
      <c r="S20" s="1"/>
    </row>
    <row r="21" spans="2:22" ht="15.75" thickBot="1">
      <c r="B21" s="6">
        <v>3</v>
      </c>
      <c r="C21" s="96">
        <f t="shared" si="5"/>
        <v>882.98628288952091</v>
      </c>
      <c r="D21" s="86" t="s">
        <v>4</v>
      </c>
      <c r="E21" s="9">
        <f t="shared" si="6"/>
        <v>2106</v>
      </c>
      <c r="F21" s="9">
        <v>906</v>
      </c>
      <c r="H21" s="103" t="s">
        <v>175</v>
      </c>
      <c r="I21" s="72">
        <v>702</v>
      </c>
      <c r="J21" s="72">
        <f t="shared" si="3"/>
        <v>24</v>
      </c>
      <c r="K21" s="108"/>
      <c r="L21" s="117" t="s">
        <v>16</v>
      </c>
      <c r="M21" s="106" t="s">
        <v>157</v>
      </c>
      <c r="N21" s="103">
        <f t="shared" si="2"/>
        <v>392.44854809393109</v>
      </c>
      <c r="O21" s="96">
        <v>391.99543598174972</v>
      </c>
      <c r="P21" s="6" t="s">
        <v>16</v>
      </c>
      <c r="Q21" s="8">
        <f t="shared" si="4"/>
        <v>1.9999980108706901</v>
      </c>
      <c r="S21" s="1"/>
    </row>
    <row r="22" spans="2:22">
      <c r="B22" s="6">
        <v>4</v>
      </c>
      <c r="C22" s="96">
        <f t="shared" si="5"/>
        <v>1324.4794243342812</v>
      </c>
      <c r="D22" s="86" t="s">
        <v>177</v>
      </c>
      <c r="E22" s="9">
        <f t="shared" si="6"/>
        <v>2808</v>
      </c>
      <c r="F22" s="9">
        <v>408</v>
      </c>
      <c r="H22" s="96" t="s">
        <v>172</v>
      </c>
      <c r="I22" s="9">
        <v>792</v>
      </c>
      <c r="J22" s="78">
        <f t="shared" si="3"/>
        <v>90</v>
      </c>
      <c r="K22" s="110" t="s">
        <v>218</v>
      </c>
      <c r="L22" s="120" t="s">
        <v>214</v>
      </c>
      <c r="M22" s="77"/>
      <c r="N22" s="96">
        <f t="shared" si="2"/>
        <v>413.39000917919446</v>
      </c>
      <c r="O22" s="96">
        <v>415.30469757994558</v>
      </c>
      <c r="P22" s="6" t="s">
        <v>17</v>
      </c>
      <c r="Q22" s="8">
        <f t="shared" si="4"/>
        <v>-8.00000198912951</v>
      </c>
      <c r="S22" s="1"/>
    </row>
    <row r="23" spans="2:22" ht="15.75" thickBot="1">
      <c r="B23" s="6">
        <v>5</v>
      </c>
      <c r="C23" s="96">
        <f t="shared" si="5"/>
        <v>1986.7191365014219</v>
      </c>
      <c r="D23" s="86" t="s">
        <v>178</v>
      </c>
      <c r="E23" s="9">
        <f t="shared" si="6"/>
        <v>3510</v>
      </c>
      <c r="F23" s="9">
        <v>1110</v>
      </c>
      <c r="H23" s="96" t="s">
        <v>181</v>
      </c>
      <c r="I23" s="9">
        <v>816</v>
      </c>
      <c r="J23" s="78">
        <f t="shared" si="3"/>
        <v>24</v>
      </c>
      <c r="K23" s="111" t="s">
        <v>217</v>
      </c>
      <c r="L23" s="121" t="s">
        <v>215</v>
      </c>
      <c r="M23" s="77"/>
      <c r="N23" s="96">
        <f t="shared" si="2"/>
        <v>419.16071865773142</v>
      </c>
      <c r="O23" s="96">
        <v>415.30469757994558</v>
      </c>
      <c r="P23" s="6" t="s">
        <v>17</v>
      </c>
      <c r="Q23" s="8">
        <f t="shared" si="4"/>
        <v>15.999998010870645</v>
      </c>
      <c r="S23" s="1"/>
    </row>
    <row r="24" spans="2:22">
      <c r="B24" s="79">
        <v>6</v>
      </c>
      <c r="C24" s="97">
        <f t="shared" si="5"/>
        <v>2980.0787047521326</v>
      </c>
      <c r="D24" s="98" t="s">
        <v>179</v>
      </c>
      <c r="E24" s="9">
        <f t="shared" si="6"/>
        <v>4212</v>
      </c>
      <c r="F24" s="9">
        <v>612</v>
      </c>
      <c r="H24" s="96" t="s">
        <v>167</v>
      </c>
      <c r="I24" s="9">
        <v>882</v>
      </c>
      <c r="J24" s="78">
        <f t="shared" si="3"/>
        <v>66</v>
      </c>
      <c r="K24" s="129" t="s">
        <v>216</v>
      </c>
      <c r="L24" s="123" t="s">
        <v>222</v>
      </c>
      <c r="M24" s="77"/>
      <c r="N24" s="96">
        <f t="shared" si="2"/>
        <v>435.44892832237542</v>
      </c>
      <c r="O24" s="96">
        <v>440.00000000000051</v>
      </c>
      <c r="P24" s="6" t="s">
        <v>0</v>
      </c>
      <c r="Q24" s="8">
        <f t="shared" si="4"/>
        <v>-18.000001989129398</v>
      </c>
      <c r="S24" s="1"/>
    </row>
    <row r="25" spans="2:22">
      <c r="B25" s="6">
        <v>7</v>
      </c>
      <c r="C25" s="96">
        <f t="shared" si="5"/>
        <v>4470.1180571281984</v>
      </c>
      <c r="D25" s="86" t="s">
        <v>180</v>
      </c>
      <c r="E25" s="9">
        <f t="shared" si="6"/>
        <v>4914</v>
      </c>
      <c r="F25" s="9">
        <v>114</v>
      </c>
      <c r="H25" s="103" t="s">
        <v>4</v>
      </c>
      <c r="I25" s="72">
        <v>906</v>
      </c>
      <c r="J25" s="104">
        <f t="shared" si="3"/>
        <v>24</v>
      </c>
      <c r="K25" s="129" t="s">
        <v>18</v>
      </c>
      <c r="L25" s="124" t="s">
        <v>221</v>
      </c>
      <c r="M25" s="106" t="s">
        <v>191</v>
      </c>
      <c r="N25" s="103">
        <f t="shared" si="2"/>
        <v>441.52756883688147</v>
      </c>
      <c r="O25" s="96">
        <v>440.00000000000051</v>
      </c>
      <c r="P25" s="6" t="s">
        <v>0</v>
      </c>
      <c r="Q25" s="8">
        <f t="shared" si="4"/>
        <v>5.9999980108703737</v>
      </c>
      <c r="S25" s="1"/>
    </row>
    <row r="26" spans="2:22">
      <c r="B26" s="6">
        <v>8</v>
      </c>
      <c r="C26" s="96">
        <f t="shared" si="5"/>
        <v>6705.1770856922976</v>
      </c>
      <c r="D26" s="86" t="s">
        <v>181</v>
      </c>
      <c r="E26" s="9">
        <f t="shared" si="6"/>
        <v>5616</v>
      </c>
      <c r="F26" s="9">
        <v>816</v>
      </c>
      <c r="H26" s="103" t="s">
        <v>174</v>
      </c>
      <c r="I26" s="72">
        <v>996</v>
      </c>
      <c r="J26" s="104">
        <f t="shared" si="3"/>
        <v>90</v>
      </c>
      <c r="K26" s="129" t="s">
        <v>219</v>
      </c>
      <c r="L26" s="124" t="s">
        <v>8</v>
      </c>
      <c r="M26" s="106" t="s">
        <v>192</v>
      </c>
      <c r="N26" s="103">
        <f t="shared" si="2"/>
        <v>465.08793731263756</v>
      </c>
      <c r="O26" s="96">
        <v>466.1637615180905</v>
      </c>
      <c r="P26" s="6" t="s">
        <v>8</v>
      </c>
      <c r="Q26" s="8">
        <f t="shared" si="4"/>
        <v>-4.0000019891295544</v>
      </c>
      <c r="S26" s="1"/>
    </row>
    <row r="27" spans="2:22" ht="15.75" thickBot="1">
      <c r="B27" s="6">
        <v>9</v>
      </c>
      <c r="C27" s="96">
        <f t="shared" si="5"/>
        <v>10057.765628538447</v>
      </c>
      <c r="D27" s="86" t="s">
        <v>182</v>
      </c>
      <c r="E27" s="9">
        <f t="shared" si="6"/>
        <v>6318</v>
      </c>
      <c r="F27" s="9">
        <v>318</v>
      </c>
      <c r="H27" s="96" t="s">
        <v>183</v>
      </c>
      <c r="I27" s="9">
        <v>1020</v>
      </c>
      <c r="J27" s="78">
        <f t="shared" si="3"/>
        <v>24</v>
      </c>
      <c r="K27" s="130" t="s">
        <v>220</v>
      </c>
      <c r="L27" s="124" t="s">
        <v>223</v>
      </c>
      <c r="M27" s="77"/>
      <c r="N27" s="96">
        <f t="shared" si="2"/>
        <v>471.58032297413962</v>
      </c>
      <c r="O27" s="96">
        <v>466.1637615180905</v>
      </c>
      <c r="P27" s="6" t="s">
        <v>8</v>
      </c>
      <c r="Q27" s="8">
        <f t="shared" si="4"/>
        <v>19.999998010870033</v>
      </c>
      <c r="S27" s="1"/>
    </row>
    <row r="28" spans="2:22">
      <c r="B28" s="6">
        <v>10</v>
      </c>
      <c r="C28" s="96">
        <f t="shared" si="5"/>
        <v>15086.648442807671</v>
      </c>
      <c r="D28" s="86" t="s">
        <v>183</v>
      </c>
      <c r="E28" s="9">
        <f t="shared" si="6"/>
        <v>7020</v>
      </c>
      <c r="F28" s="9">
        <v>1020</v>
      </c>
      <c r="H28" s="96" t="s">
        <v>169</v>
      </c>
      <c r="I28" s="9">
        <v>1086</v>
      </c>
      <c r="J28" s="78">
        <f t="shared" si="3"/>
        <v>66</v>
      </c>
      <c r="K28" s="119" t="s">
        <v>228</v>
      </c>
      <c r="L28" s="127" t="s">
        <v>224</v>
      </c>
      <c r="M28" s="77"/>
      <c r="N28" s="96">
        <f t="shared" si="2"/>
        <v>489.90551145773765</v>
      </c>
      <c r="O28" s="96">
        <v>493.88330125612475</v>
      </c>
      <c r="P28" s="6" t="s">
        <v>9</v>
      </c>
      <c r="Q28" s="8">
        <f t="shared" si="4"/>
        <v>-14.000001989129853</v>
      </c>
      <c r="S28" s="1"/>
    </row>
    <row r="29" spans="2:22" ht="15.75" thickBot="1">
      <c r="B29" s="9">
        <v>11</v>
      </c>
      <c r="C29" s="96">
        <f t="shared" si="5"/>
        <v>22629.972664211506</v>
      </c>
      <c r="D29" s="102" t="s">
        <v>187</v>
      </c>
      <c r="E29" s="9">
        <f t="shared" si="6"/>
        <v>7722</v>
      </c>
      <c r="F29" s="9">
        <v>522</v>
      </c>
      <c r="H29" s="96" t="s">
        <v>178</v>
      </c>
      <c r="I29" s="9">
        <v>1110</v>
      </c>
      <c r="J29" s="78">
        <f t="shared" si="3"/>
        <v>24</v>
      </c>
      <c r="K29" s="117" t="s">
        <v>227</v>
      </c>
      <c r="L29" s="128" t="s">
        <v>225</v>
      </c>
      <c r="M29" s="77"/>
      <c r="N29" s="96">
        <f t="shared" si="2"/>
        <v>496.74433754395579</v>
      </c>
      <c r="O29" s="96">
        <v>493.88330125612475</v>
      </c>
      <c r="P29" s="6" t="s">
        <v>9</v>
      </c>
      <c r="Q29" s="8">
        <f t="shared" si="4"/>
        <v>9.9999980108699322</v>
      </c>
      <c r="S29" s="1"/>
    </row>
    <row r="30" spans="2:22">
      <c r="B30" s="9">
        <v>12</v>
      </c>
      <c r="C30" s="96">
        <f t="shared" si="5"/>
        <v>33944.958996317262</v>
      </c>
      <c r="D30" s="102" t="s">
        <v>188</v>
      </c>
      <c r="E30" s="9">
        <f t="shared" si="6"/>
        <v>8424</v>
      </c>
      <c r="F30" s="9">
        <v>24</v>
      </c>
      <c r="H30" s="6" t="s">
        <v>185</v>
      </c>
      <c r="I30" s="9">
        <v>1176</v>
      </c>
      <c r="J30" s="78">
        <f t="shared" si="3"/>
        <v>66</v>
      </c>
      <c r="K30" s="117" t="s">
        <v>226</v>
      </c>
      <c r="L30" s="109"/>
      <c r="M30" s="6"/>
      <c r="N30" s="96">
        <f t="shared" si="2"/>
        <v>516.04737706910623</v>
      </c>
      <c r="O30" s="96">
        <v>523.25113060119793</v>
      </c>
      <c r="P30" s="6" t="s">
        <v>29</v>
      </c>
      <c r="Q30" s="8">
        <f t="shared" si="4"/>
        <v>-24.000001989129707</v>
      </c>
      <c r="S30" s="1"/>
    </row>
    <row r="31" spans="2:22" ht="15.75" thickBot="1">
      <c r="H31" s="103" t="s">
        <v>102</v>
      </c>
      <c r="I31" s="72">
        <v>1200</v>
      </c>
      <c r="J31" s="104">
        <f t="shared" si="3"/>
        <v>24</v>
      </c>
      <c r="K31" s="122" t="s">
        <v>102</v>
      </c>
      <c r="L31" s="105"/>
      <c r="M31" s="72" t="s">
        <v>193</v>
      </c>
      <c r="N31" s="103">
        <f t="shared" si="2"/>
        <v>523.25112999999999</v>
      </c>
      <c r="O31" s="96">
        <v>523.25113060119793</v>
      </c>
      <c r="P31" s="6" t="s">
        <v>29</v>
      </c>
      <c r="Q31" s="8">
        <f t="shared" si="4"/>
        <v>-1.9891296960482596E-6</v>
      </c>
      <c r="S31" s="1"/>
    </row>
    <row r="32" spans="2:22">
      <c r="E32" s="60"/>
    </row>
    <row r="35" spans="9:12">
      <c r="I35" s="5"/>
      <c r="K35" s="131"/>
      <c r="L35"/>
    </row>
    <row r="36" spans="9:12">
      <c r="I36" s="5"/>
      <c r="L36"/>
    </row>
    <row r="37" spans="9:12">
      <c r="I37" s="5"/>
    </row>
    <row r="38" spans="9:12">
      <c r="I38" s="5"/>
    </row>
    <row r="39" spans="9:12">
      <c r="I39" s="5"/>
      <c r="L39"/>
    </row>
    <row r="40" spans="9:12">
      <c r="I40" s="5"/>
      <c r="L40"/>
    </row>
    <row r="41" spans="9:12">
      <c r="I41" s="5"/>
      <c r="L41"/>
    </row>
  </sheetData>
  <sortState ref="H6:I30">
    <sortCondition ref="I6:I30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workbookViewId="0">
      <selection activeCell="G24" sqref="G24"/>
    </sheetView>
  </sheetViews>
  <sheetFormatPr baseColWidth="10" defaultRowHeight="15"/>
  <cols>
    <col min="1" max="1" width="8.5703125" customWidth="1"/>
    <col min="2" max="2" width="9.7109375" customWidth="1"/>
    <col min="3" max="3" width="12.7109375" customWidth="1"/>
    <col min="4" max="4" width="9" customWidth="1"/>
    <col min="5" max="5" width="9.85546875" customWidth="1"/>
    <col min="6" max="6" width="5" customWidth="1"/>
    <col min="7" max="7" width="14.42578125" customWidth="1"/>
    <col min="8" max="8" width="14.5703125" customWidth="1"/>
    <col min="10" max="10" width="6" customWidth="1"/>
    <col min="14" max="14" width="12.5703125" customWidth="1"/>
    <col min="15" max="15" width="13" customWidth="1"/>
    <col min="16" max="16" width="6" customWidth="1"/>
    <col min="17" max="17" width="12.140625" style="5" customWidth="1"/>
    <col min="18" max="18" width="10.85546875" style="5" customWidth="1"/>
  </cols>
  <sheetData>
    <row r="1" spans="1:18" ht="18.75">
      <c r="A1" s="80" t="s">
        <v>245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ht="30.75" thickBot="1">
      <c r="A2" s="5"/>
      <c r="B2" s="5"/>
      <c r="C2" s="73" t="s">
        <v>256</v>
      </c>
      <c r="D2" s="5"/>
      <c r="E2" s="5"/>
      <c r="F2" s="5"/>
      <c r="G2" s="5"/>
      <c r="H2" s="5"/>
      <c r="I2" s="5"/>
      <c r="J2" s="5"/>
      <c r="K2" s="161" t="s">
        <v>140</v>
      </c>
      <c r="L2" s="64" t="s">
        <v>86</v>
      </c>
      <c r="M2" s="37" t="s">
        <v>141</v>
      </c>
      <c r="N2" s="37" t="s">
        <v>142</v>
      </c>
      <c r="O2" s="64" t="s">
        <v>267</v>
      </c>
      <c r="Q2" s="60" t="s">
        <v>257</v>
      </c>
    </row>
    <row r="3" spans="1:18" ht="15.75" thickBot="1">
      <c r="A3" s="81" t="s">
        <v>143</v>
      </c>
      <c r="B3" s="82" t="s">
        <v>144</v>
      </c>
      <c r="C3" s="83" t="s">
        <v>145</v>
      </c>
      <c r="D3" s="84" t="s">
        <v>84</v>
      </c>
      <c r="E3" s="6" t="s">
        <v>146</v>
      </c>
      <c r="F3" s="25"/>
      <c r="G3" s="156" t="s">
        <v>264</v>
      </c>
      <c r="H3" s="79" t="s">
        <v>263</v>
      </c>
      <c r="I3" s="79" t="s">
        <v>84</v>
      </c>
      <c r="J3" s="5"/>
      <c r="K3" s="162" t="s">
        <v>246</v>
      </c>
      <c r="L3" s="63"/>
      <c r="M3" s="34" t="s">
        <v>246</v>
      </c>
      <c r="N3" s="34" t="s">
        <v>260</v>
      </c>
      <c r="O3" s="65" t="s">
        <v>147</v>
      </c>
      <c r="P3" s="16"/>
      <c r="Q3" s="9" t="s">
        <v>86</v>
      </c>
      <c r="R3" s="9" t="s">
        <v>259</v>
      </c>
    </row>
    <row r="4" spans="1:18">
      <c r="A4" s="85">
        <v>0</v>
      </c>
      <c r="B4" s="58" t="s">
        <v>38</v>
      </c>
      <c r="C4" s="65">
        <v>0</v>
      </c>
      <c r="D4" s="34"/>
      <c r="E4" s="6"/>
      <c r="F4" s="154"/>
      <c r="G4" s="158">
        <v>90</v>
      </c>
      <c r="H4" s="79">
        <v>91.1</v>
      </c>
      <c r="I4" s="79"/>
      <c r="J4" s="5"/>
      <c r="K4" s="6">
        <v>0</v>
      </c>
      <c r="L4" s="96">
        <f>(87.2-K4)/(87.2)</f>
        <v>1</v>
      </c>
      <c r="M4" s="6">
        <f>87.2-K4</f>
        <v>87.2</v>
      </c>
      <c r="N4" s="163">
        <f>91.1*(87.2/M4)</f>
        <v>91.1</v>
      </c>
      <c r="O4" s="164">
        <f t="shared" ref="O4:O21" si="0">(N4/H4)-1</f>
        <v>0</v>
      </c>
      <c r="P4" s="153"/>
      <c r="Q4" s="6">
        <v>1</v>
      </c>
      <c r="R4" s="6">
        <v>91.1</v>
      </c>
    </row>
    <row r="5" spans="1:18">
      <c r="A5" s="87">
        <v>1</v>
      </c>
      <c r="B5" s="77" t="s">
        <v>37</v>
      </c>
      <c r="C5" s="6">
        <f t="shared" ref="C5:C21" si="1">K5-K4</f>
        <v>4.7</v>
      </c>
      <c r="D5" s="88">
        <f t="shared" ref="D5:D21" si="2">(87-K4)/(87-K5)</f>
        <v>1.0571081409477521</v>
      </c>
      <c r="E5" s="145">
        <f t="shared" ref="E5:E21" si="3" xml:space="preserve"> 1200*LN(D5)/LN(2)</f>
        <v>96.147564377357867</v>
      </c>
      <c r="F5" s="146"/>
      <c r="G5" s="158">
        <v>95</v>
      </c>
      <c r="H5" s="79">
        <v>94.2</v>
      </c>
      <c r="I5" s="148">
        <f>H5/H4</f>
        <v>1.0340285400658618</v>
      </c>
      <c r="J5" s="5"/>
      <c r="K5" s="6">
        <v>4.7</v>
      </c>
      <c r="L5" s="96">
        <f t="shared" ref="L5:L22" si="4">(87.2-K5)/(87.2)</f>
        <v>0.94610091743119262</v>
      </c>
      <c r="M5" s="6">
        <f t="shared" ref="M5:M22" si="5">87.2-K5</f>
        <v>82.5</v>
      </c>
      <c r="N5" s="86">
        <f t="shared" ref="N5:N21" si="6">91.1*(87.2/M5)</f>
        <v>96.289939393939406</v>
      </c>
      <c r="O5" s="151">
        <f t="shared" si="0"/>
        <v>2.2186193141607191E-2</v>
      </c>
      <c r="P5" s="153"/>
      <c r="Q5" s="7">
        <f>POWER(2,1/12)</f>
        <v>1.0594630943592953</v>
      </c>
      <c r="R5" s="96">
        <f>91.1*Q5</f>
        <v>96.517087896131798</v>
      </c>
    </row>
    <row r="6" spans="1:18">
      <c r="A6" s="87">
        <v>2</v>
      </c>
      <c r="B6" s="77" t="s">
        <v>87</v>
      </c>
      <c r="C6" s="6">
        <f t="shared" si="1"/>
        <v>2.5</v>
      </c>
      <c r="D6" s="88">
        <f t="shared" si="2"/>
        <v>1.031328320802005</v>
      </c>
      <c r="E6" s="145">
        <f t="shared" si="3"/>
        <v>53.404421039135826</v>
      </c>
      <c r="F6" s="146"/>
      <c r="G6" s="158">
        <v>99</v>
      </c>
      <c r="H6" s="79">
        <v>99.7</v>
      </c>
      <c r="I6" s="148">
        <f t="shared" ref="I6:I21" si="7">H6/H5</f>
        <v>1.0583864118895967</v>
      </c>
      <c r="J6" s="5"/>
      <c r="K6" s="6">
        <v>7.2</v>
      </c>
      <c r="L6" s="96">
        <f t="shared" si="4"/>
        <v>0.9174311926605504</v>
      </c>
      <c r="M6" s="6">
        <f t="shared" si="5"/>
        <v>80</v>
      </c>
      <c r="N6" s="86">
        <f t="shared" si="6"/>
        <v>99.299000000000007</v>
      </c>
      <c r="O6" s="151">
        <f t="shared" si="0"/>
        <v>-4.0220661985957973E-3</v>
      </c>
      <c r="P6" s="153"/>
      <c r="Q6" s="7">
        <f>POWER(2,3/24)</f>
        <v>1.0905077326652577</v>
      </c>
      <c r="R6" s="96">
        <f t="shared" ref="R6:R21" si="8">91.1*Q6</f>
        <v>99.345254445804969</v>
      </c>
    </row>
    <row r="7" spans="1:18">
      <c r="A7" s="87">
        <v>3</v>
      </c>
      <c r="B7" s="77" t="s">
        <v>80</v>
      </c>
      <c r="C7" s="6">
        <f t="shared" si="1"/>
        <v>2.3999999999999995</v>
      </c>
      <c r="D7" s="88">
        <f t="shared" si="2"/>
        <v>1.0310077519379843</v>
      </c>
      <c r="E7" s="145">
        <f t="shared" si="3"/>
        <v>52.866216093522297</v>
      </c>
      <c r="F7" s="146"/>
      <c r="G7" s="158">
        <v>102</v>
      </c>
      <c r="H7" s="79">
        <v>101.1</v>
      </c>
      <c r="I7" s="148">
        <f t="shared" si="7"/>
        <v>1.0140421263791373</v>
      </c>
      <c r="J7" s="5"/>
      <c r="K7" s="6">
        <v>9.6</v>
      </c>
      <c r="L7" s="96">
        <f t="shared" si="4"/>
        <v>0.88990825688073405</v>
      </c>
      <c r="M7" s="6">
        <f t="shared" si="5"/>
        <v>77.600000000000009</v>
      </c>
      <c r="N7" s="86">
        <f t="shared" si="6"/>
        <v>102.37010309278349</v>
      </c>
      <c r="O7" s="151">
        <f t="shared" si="0"/>
        <v>1.2562839691231398E-2</v>
      </c>
      <c r="P7" s="153"/>
      <c r="Q7" s="7">
        <f>POWER(2,2/12)</f>
        <v>1.122462048309373</v>
      </c>
      <c r="R7" s="96">
        <f t="shared" si="8"/>
        <v>102.25629260098387</v>
      </c>
    </row>
    <row r="8" spans="1:18">
      <c r="A8" s="87">
        <v>4</v>
      </c>
      <c r="B8" s="77" t="s">
        <v>79</v>
      </c>
      <c r="C8" s="6">
        <f t="shared" si="1"/>
        <v>3.9000000000000004</v>
      </c>
      <c r="D8" s="88">
        <f t="shared" si="2"/>
        <v>1.0530612244897959</v>
      </c>
      <c r="E8" s="145">
        <f t="shared" si="3"/>
        <v>89.507179704820217</v>
      </c>
      <c r="F8" s="146"/>
      <c r="G8" s="158">
        <v>107</v>
      </c>
      <c r="H8" s="79">
        <v>108.1</v>
      </c>
      <c r="I8" s="148">
        <f t="shared" si="7"/>
        <v>1.0692383778437191</v>
      </c>
      <c r="J8" s="5"/>
      <c r="K8" s="6">
        <v>13.5</v>
      </c>
      <c r="L8" s="96">
        <f t="shared" si="4"/>
        <v>0.84518348623853212</v>
      </c>
      <c r="M8" s="6">
        <f t="shared" si="5"/>
        <v>73.7</v>
      </c>
      <c r="N8" s="86">
        <f t="shared" si="6"/>
        <v>107.78724559023065</v>
      </c>
      <c r="O8" s="151">
        <f t="shared" si="0"/>
        <v>-2.8931952800124172E-3</v>
      </c>
      <c r="P8" s="153"/>
      <c r="Q8" s="7">
        <f>POWER(2,3/12)</f>
        <v>1.189207115002721</v>
      </c>
      <c r="R8" s="96">
        <f t="shared" si="8"/>
        <v>108.33676817674788</v>
      </c>
    </row>
    <row r="9" spans="1:18">
      <c r="A9" s="87">
        <v>5</v>
      </c>
      <c r="B9" s="77" t="s">
        <v>148</v>
      </c>
      <c r="C9" s="6">
        <f t="shared" si="1"/>
        <v>2.6999999999999993</v>
      </c>
      <c r="D9" s="88">
        <f t="shared" si="2"/>
        <v>1.0381355932203391</v>
      </c>
      <c r="E9" s="145">
        <f t="shared" si="3"/>
        <v>64.79386756887537</v>
      </c>
      <c r="F9" s="146"/>
      <c r="G9" s="158">
        <v>111</v>
      </c>
      <c r="H9" s="79">
        <v>110.5</v>
      </c>
      <c r="I9" s="148">
        <f t="shared" si="7"/>
        <v>1.0222016651248844</v>
      </c>
      <c r="J9" s="5"/>
      <c r="K9" s="6">
        <v>16.2</v>
      </c>
      <c r="L9" s="96">
        <f t="shared" si="4"/>
        <v>0.81422018348623848</v>
      </c>
      <c r="M9" s="6">
        <f t="shared" si="5"/>
        <v>71</v>
      </c>
      <c r="N9" s="86">
        <f t="shared" si="6"/>
        <v>111.8861971830986</v>
      </c>
      <c r="O9" s="151">
        <f t="shared" si="0"/>
        <v>1.2544770887770174E-2</v>
      </c>
      <c r="P9" s="153"/>
      <c r="Q9" s="7">
        <f>POWER(2,7/24)</f>
        <v>1.2240535433046553</v>
      </c>
      <c r="R9" s="96">
        <f t="shared" si="8"/>
        <v>111.5112777950541</v>
      </c>
    </row>
    <row r="10" spans="1:18">
      <c r="A10" s="87">
        <v>6</v>
      </c>
      <c r="B10" s="77" t="s">
        <v>149</v>
      </c>
      <c r="C10" s="6">
        <f t="shared" si="1"/>
        <v>1.8000000000000007</v>
      </c>
      <c r="D10" s="88">
        <f t="shared" si="2"/>
        <v>1.026086956521739</v>
      </c>
      <c r="E10" s="145">
        <f t="shared" si="3"/>
        <v>44.583598100958994</v>
      </c>
      <c r="F10" s="146"/>
      <c r="G10" s="158">
        <v>113</v>
      </c>
      <c r="H10" s="79">
        <v>113.3</v>
      </c>
      <c r="I10" s="148">
        <f t="shared" si="7"/>
        <v>1.025339366515837</v>
      </c>
      <c r="J10" s="5"/>
      <c r="K10" s="6">
        <v>18</v>
      </c>
      <c r="L10" s="96">
        <f t="shared" si="4"/>
        <v>0.79357798165137616</v>
      </c>
      <c r="M10" s="6">
        <f t="shared" si="5"/>
        <v>69.2</v>
      </c>
      <c r="N10" s="86">
        <f t="shared" si="6"/>
        <v>114.7965317919075</v>
      </c>
      <c r="O10" s="151">
        <f t="shared" si="0"/>
        <v>1.3208577157171275E-2</v>
      </c>
      <c r="P10" s="153"/>
      <c r="Q10" s="7">
        <f>POWER(2,4/12)</f>
        <v>1.2599210498948732</v>
      </c>
      <c r="R10" s="96">
        <f t="shared" si="8"/>
        <v>114.77880764542294</v>
      </c>
    </row>
    <row r="11" spans="1:18">
      <c r="A11" s="87">
        <v>7</v>
      </c>
      <c r="B11" s="77" t="s">
        <v>42</v>
      </c>
      <c r="C11" s="6">
        <f t="shared" si="1"/>
        <v>3.6999999999999993</v>
      </c>
      <c r="D11" s="88">
        <f t="shared" si="2"/>
        <v>1.0566615620214395</v>
      </c>
      <c r="E11" s="145">
        <f t="shared" si="3"/>
        <v>95.416044142920683</v>
      </c>
      <c r="F11" s="146"/>
      <c r="G11" s="158">
        <v>120</v>
      </c>
      <c r="H11" s="79">
        <v>119.2</v>
      </c>
      <c r="I11" s="148">
        <f t="shared" si="7"/>
        <v>1.0520741394527804</v>
      </c>
      <c r="J11" s="5"/>
      <c r="K11" s="6">
        <v>21.7</v>
      </c>
      <c r="L11" s="96">
        <f t="shared" si="4"/>
        <v>0.75114678899082565</v>
      </c>
      <c r="M11" s="6">
        <f t="shared" si="5"/>
        <v>65.5</v>
      </c>
      <c r="N11" s="86">
        <f t="shared" si="6"/>
        <v>121.2812213740458</v>
      </c>
      <c r="O11" s="151">
        <f t="shared" si="0"/>
        <v>1.7459910856088889E-2</v>
      </c>
      <c r="P11" s="153"/>
      <c r="Q11" s="7">
        <f>POWER(2,5/12)</f>
        <v>1.3348398541700344</v>
      </c>
      <c r="R11" s="96">
        <f t="shared" si="8"/>
        <v>121.60391071489012</v>
      </c>
    </row>
    <row r="12" spans="1:18">
      <c r="A12" s="87">
        <v>8</v>
      </c>
      <c r="B12" s="77" t="s">
        <v>150</v>
      </c>
      <c r="C12" s="6">
        <f t="shared" si="1"/>
        <v>3.5</v>
      </c>
      <c r="D12" s="88">
        <f t="shared" si="2"/>
        <v>1.0566343042071198</v>
      </c>
      <c r="E12" s="145">
        <f t="shared" si="3"/>
        <v>95.371384370467524</v>
      </c>
      <c r="F12" s="146"/>
      <c r="G12" s="158">
        <v>127</v>
      </c>
      <c r="H12" s="79">
        <f>253.5/2</f>
        <v>126.75</v>
      </c>
      <c r="I12" s="148">
        <f t="shared" si="7"/>
        <v>1.0633389261744965</v>
      </c>
      <c r="J12" s="5"/>
      <c r="K12" s="6">
        <v>25.2</v>
      </c>
      <c r="L12" s="96">
        <f t="shared" si="4"/>
        <v>0.71100917431192656</v>
      </c>
      <c r="M12" s="6">
        <f t="shared" si="5"/>
        <v>62</v>
      </c>
      <c r="N12" s="86">
        <f t="shared" si="6"/>
        <v>128.12774193548387</v>
      </c>
      <c r="O12" s="151">
        <f t="shared" si="0"/>
        <v>1.0869758859833212E-2</v>
      </c>
      <c r="P12" s="153"/>
      <c r="Q12" s="7">
        <f>POWER(2,6/12)</f>
        <v>1.4142135623730951</v>
      </c>
      <c r="R12" s="96">
        <f t="shared" si="8"/>
        <v>128.83485553218895</v>
      </c>
    </row>
    <row r="13" spans="1:18">
      <c r="A13" s="87">
        <v>9</v>
      </c>
      <c r="B13" s="77" t="s">
        <v>151</v>
      </c>
      <c r="C13" s="6">
        <f t="shared" si="1"/>
        <v>1.6999999999999993</v>
      </c>
      <c r="D13" s="88">
        <f t="shared" si="2"/>
        <v>1.0282861896838602</v>
      </c>
      <c r="E13" s="145">
        <f t="shared" si="3"/>
        <v>48.290216631826908</v>
      </c>
      <c r="F13" s="146"/>
      <c r="G13" s="158">
        <v>132</v>
      </c>
      <c r="H13" s="79">
        <v>131.30000000000001</v>
      </c>
      <c r="I13" s="148">
        <f t="shared" si="7"/>
        <v>1.035897435897436</v>
      </c>
      <c r="J13" s="5"/>
      <c r="K13" s="6">
        <v>26.9</v>
      </c>
      <c r="L13" s="96">
        <f t="shared" si="4"/>
        <v>0.6915137614678899</v>
      </c>
      <c r="M13" s="6">
        <f t="shared" si="5"/>
        <v>60.300000000000004</v>
      </c>
      <c r="N13" s="86">
        <f t="shared" si="6"/>
        <v>131.73996683250414</v>
      </c>
      <c r="O13" s="151">
        <f t="shared" si="0"/>
        <v>3.3508517327047738E-3</v>
      </c>
      <c r="P13" s="153"/>
      <c r="Q13" s="7">
        <f>POWER(2,13/24)</f>
        <v>1.4556531828421873</v>
      </c>
      <c r="R13" s="96">
        <f t="shared" si="8"/>
        <v>132.61000495692326</v>
      </c>
    </row>
    <row r="14" spans="1:18">
      <c r="A14" s="87">
        <v>10</v>
      </c>
      <c r="B14" s="77" t="s">
        <v>41</v>
      </c>
      <c r="C14" s="6">
        <f t="shared" si="1"/>
        <v>1.9000000000000021</v>
      </c>
      <c r="D14" s="88">
        <f t="shared" si="2"/>
        <v>1.0326460481099655</v>
      </c>
      <c r="E14" s="145">
        <f t="shared" si="3"/>
        <v>55.6150053634817</v>
      </c>
      <c r="F14" s="146"/>
      <c r="G14" s="158">
        <v>135</v>
      </c>
      <c r="H14" s="79">
        <v>135.19999999999999</v>
      </c>
      <c r="I14" s="148">
        <f t="shared" si="7"/>
        <v>1.0297029702970295</v>
      </c>
      <c r="J14" s="5"/>
      <c r="K14" s="6">
        <v>28.8</v>
      </c>
      <c r="L14" s="96">
        <f t="shared" si="4"/>
        <v>0.66972477064220193</v>
      </c>
      <c r="M14" s="6">
        <f t="shared" si="5"/>
        <v>58.400000000000006</v>
      </c>
      <c r="N14" s="86">
        <f t="shared" si="6"/>
        <v>136.02602739726026</v>
      </c>
      <c r="O14" s="151">
        <f t="shared" si="0"/>
        <v>6.1096700980789453E-3</v>
      </c>
      <c r="P14" s="153"/>
      <c r="Q14" s="7">
        <f>POWER(2,7/12)</f>
        <v>1.4983070768766815</v>
      </c>
      <c r="R14" s="96">
        <f t="shared" si="8"/>
        <v>136.49577470346568</v>
      </c>
    </row>
    <row r="15" spans="1:18">
      <c r="A15" s="87">
        <v>11</v>
      </c>
      <c r="B15" s="77" t="s">
        <v>89</v>
      </c>
      <c r="C15" s="6">
        <f t="shared" si="1"/>
        <v>2.8000000000000007</v>
      </c>
      <c r="D15" s="88">
        <f t="shared" si="2"/>
        <v>1.0505415162454874</v>
      </c>
      <c r="E15" s="145">
        <f t="shared" si="3"/>
        <v>85.359812230914713</v>
      </c>
      <c r="F15" s="146"/>
      <c r="G15" s="158">
        <v>142</v>
      </c>
      <c r="H15" s="79">
        <v>140.4</v>
      </c>
      <c r="I15" s="148">
        <f t="shared" si="7"/>
        <v>1.0384615384615385</v>
      </c>
      <c r="J15" s="5"/>
      <c r="K15" s="6">
        <v>31.6</v>
      </c>
      <c r="L15" s="96">
        <f t="shared" si="4"/>
        <v>0.63761467889908252</v>
      </c>
      <c r="M15" s="6">
        <f t="shared" si="5"/>
        <v>55.6</v>
      </c>
      <c r="N15" s="86">
        <f t="shared" si="6"/>
        <v>142.87625899280576</v>
      </c>
      <c r="O15" s="151">
        <f t="shared" si="0"/>
        <v>1.7637172313431204E-2</v>
      </c>
      <c r="P15" s="153"/>
      <c r="Q15" s="7">
        <f>POWER(2,8/12)</f>
        <v>1.5874010519681994</v>
      </c>
      <c r="R15" s="96">
        <f t="shared" si="8"/>
        <v>144.61223583430296</v>
      </c>
    </row>
    <row r="16" spans="1:18">
      <c r="A16" s="87">
        <v>12</v>
      </c>
      <c r="B16" s="77" t="s">
        <v>152</v>
      </c>
      <c r="C16" s="6">
        <f t="shared" si="1"/>
        <v>2.1000000000000014</v>
      </c>
      <c r="D16" s="88">
        <f t="shared" si="2"/>
        <v>1.0393996247654784</v>
      </c>
      <c r="E16" s="145">
        <f t="shared" si="3"/>
        <v>66.900531948014972</v>
      </c>
      <c r="F16" s="146"/>
      <c r="G16" s="158">
        <v>148</v>
      </c>
      <c r="H16" s="79">
        <v>146.5</v>
      </c>
      <c r="I16" s="148">
        <f t="shared" si="7"/>
        <v>1.0434472934472934</v>
      </c>
      <c r="J16" s="5"/>
      <c r="K16" s="6">
        <v>33.700000000000003</v>
      </c>
      <c r="L16" s="96">
        <f t="shared" si="4"/>
        <v>0.61353211009174313</v>
      </c>
      <c r="M16" s="6">
        <f t="shared" si="5"/>
        <v>53.5</v>
      </c>
      <c r="N16" s="86">
        <f t="shared" si="6"/>
        <v>148.48448598130841</v>
      </c>
      <c r="O16" s="151">
        <f t="shared" si="0"/>
        <v>1.3545979394596674E-2</v>
      </c>
      <c r="P16" s="153"/>
      <c r="Q16" s="7">
        <f>POWER(2,17/24)</f>
        <v>1.6339154532410998</v>
      </c>
      <c r="R16" s="96">
        <f t="shared" si="8"/>
        <v>148.84969779026417</v>
      </c>
    </row>
    <row r="17" spans="1:18">
      <c r="A17" s="87">
        <v>13</v>
      </c>
      <c r="B17" s="77" t="s">
        <v>40</v>
      </c>
      <c r="C17" s="6">
        <f t="shared" si="1"/>
        <v>1.3999999999999986</v>
      </c>
      <c r="D17" s="88">
        <f t="shared" si="2"/>
        <v>1.0269749518304432</v>
      </c>
      <c r="E17" s="145">
        <f t="shared" si="3"/>
        <v>46.081193281554086</v>
      </c>
      <c r="F17" s="146"/>
      <c r="G17" s="158">
        <v>152</v>
      </c>
      <c r="H17" s="79">
        <v>154.19999999999999</v>
      </c>
      <c r="I17" s="148">
        <f t="shared" si="7"/>
        <v>1.0525597269624574</v>
      </c>
      <c r="J17" s="5"/>
      <c r="K17" s="6">
        <v>35.1</v>
      </c>
      <c r="L17" s="96">
        <f t="shared" si="4"/>
        <v>0.59747706422018343</v>
      </c>
      <c r="M17" s="6">
        <f t="shared" si="5"/>
        <v>52.1</v>
      </c>
      <c r="N17" s="86">
        <f t="shared" si="6"/>
        <v>152.47447216890595</v>
      </c>
      <c r="O17" s="151">
        <f t="shared" si="0"/>
        <v>-1.1190193457159769E-2</v>
      </c>
      <c r="P17" s="153"/>
      <c r="Q17" s="7">
        <f>POWER(2,9/12)</f>
        <v>1.681792830507429</v>
      </c>
      <c r="R17" s="96">
        <f t="shared" si="8"/>
        <v>153.21132685922677</v>
      </c>
    </row>
    <row r="18" spans="1:18">
      <c r="A18" s="87">
        <v>14</v>
      </c>
      <c r="B18" s="77" t="s">
        <v>39</v>
      </c>
      <c r="C18" s="6">
        <f t="shared" si="1"/>
        <v>2.7999999999999972</v>
      </c>
      <c r="D18" s="88">
        <f t="shared" si="2"/>
        <v>1.0570264765784114</v>
      </c>
      <c r="E18" s="145">
        <f t="shared" si="3"/>
        <v>96.013816851825325</v>
      </c>
      <c r="F18" s="146"/>
      <c r="G18" s="158">
        <v>160</v>
      </c>
      <c r="H18" s="79">
        <v>159.80000000000001</v>
      </c>
      <c r="I18" s="148">
        <f t="shared" si="7"/>
        <v>1.0363164721141376</v>
      </c>
      <c r="J18" s="5"/>
      <c r="K18" s="6">
        <v>37.9</v>
      </c>
      <c r="L18" s="96">
        <f t="shared" si="4"/>
        <v>0.56536697247706424</v>
      </c>
      <c r="M18" s="6">
        <f t="shared" si="5"/>
        <v>49.300000000000004</v>
      </c>
      <c r="N18" s="86">
        <f t="shared" si="6"/>
        <v>161.13427991886408</v>
      </c>
      <c r="O18" s="151">
        <f t="shared" si="0"/>
        <v>8.3496866011518733E-3</v>
      </c>
      <c r="P18" s="153"/>
      <c r="Q18" s="7">
        <f>POWER(2,10/12)</f>
        <v>1.7817974362806785</v>
      </c>
      <c r="R18" s="96">
        <f t="shared" si="8"/>
        <v>162.32174644516979</v>
      </c>
    </row>
    <row r="19" spans="1:18">
      <c r="A19" s="87">
        <v>15</v>
      </c>
      <c r="B19" s="77" t="s">
        <v>153</v>
      </c>
      <c r="C19" s="6">
        <f t="shared" si="1"/>
        <v>2.5</v>
      </c>
      <c r="D19" s="88">
        <f t="shared" si="2"/>
        <v>1.053648068669528</v>
      </c>
      <c r="E19" s="145">
        <f t="shared" si="3"/>
        <v>90.471683592495523</v>
      </c>
      <c r="F19" s="146"/>
      <c r="G19" s="158">
        <v>169</v>
      </c>
      <c r="H19" s="79">
        <v>167</v>
      </c>
      <c r="I19" s="148">
        <f t="shared" si="7"/>
        <v>1.0450563204005006</v>
      </c>
      <c r="J19" s="5"/>
      <c r="K19" s="6">
        <v>40.4</v>
      </c>
      <c r="L19" s="96">
        <f t="shared" si="4"/>
        <v>0.53669724770642202</v>
      </c>
      <c r="M19" s="6">
        <f t="shared" si="5"/>
        <v>46.800000000000004</v>
      </c>
      <c r="N19" s="86">
        <f t="shared" si="6"/>
        <v>169.74188034188032</v>
      </c>
      <c r="O19" s="151">
        <f t="shared" si="0"/>
        <v>1.6418445160959916E-2</v>
      </c>
      <c r="P19" s="153"/>
      <c r="Q19" s="7">
        <f>POWER(2,11/12)</f>
        <v>1.8877486253633868</v>
      </c>
      <c r="R19" s="96">
        <f t="shared" si="8"/>
        <v>171.97389977060453</v>
      </c>
    </row>
    <row r="20" spans="1:18">
      <c r="A20" s="87">
        <v>16</v>
      </c>
      <c r="B20" s="77" t="s">
        <v>154</v>
      </c>
      <c r="C20" s="6">
        <f t="shared" si="1"/>
        <v>1.8000000000000043</v>
      </c>
      <c r="D20" s="88">
        <f t="shared" si="2"/>
        <v>1.0401785714285716</v>
      </c>
      <c r="E20" s="145">
        <f t="shared" si="3"/>
        <v>68.19746711601168</v>
      </c>
      <c r="F20" s="146"/>
      <c r="G20" s="158">
        <v>176</v>
      </c>
      <c r="H20" s="79">
        <v>175</v>
      </c>
      <c r="I20" s="148">
        <f t="shared" si="7"/>
        <v>1.0479041916167664</v>
      </c>
      <c r="J20" s="5"/>
      <c r="K20" s="6">
        <v>42.2</v>
      </c>
      <c r="L20" s="96">
        <f t="shared" si="4"/>
        <v>0.51605504587155959</v>
      </c>
      <c r="M20" s="6">
        <f t="shared" si="5"/>
        <v>45</v>
      </c>
      <c r="N20" s="86">
        <f t="shared" si="6"/>
        <v>176.53155555555554</v>
      </c>
      <c r="O20" s="151">
        <f t="shared" si="0"/>
        <v>8.7517460317458884E-3</v>
      </c>
      <c r="P20" s="153"/>
      <c r="Q20" s="7">
        <f>POWER(2,23/24)</f>
        <v>1.9430638823072117</v>
      </c>
      <c r="R20" s="96">
        <f t="shared" si="8"/>
        <v>177.01311967818697</v>
      </c>
    </row>
    <row r="21" spans="1:18">
      <c r="A21" s="87">
        <v>17</v>
      </c>
      <c r="B21" s="77" t="s">
        <v>38</v>
      </c>
      <c r="C21" s="6">
        <f t="shared" si="1"/>
        <v>1.3999999999999986</v>
      </c>
      <c r="D21" s="88">
        <f t="shared" si="2"/>
        <v>1.032258064516129</v>
      </c>
      <c r="E21" s="145">
        <f t="shared" si="3"/>
        <v>54.964427535749699</v>
      </c>
      <c r="F21" s="155"/>
      <c r="G21" s="157"/>
      <c r="H21" s="79">
        <v>181.5</v>
      </c>
      <c r="I21" s="148">
        <f t="shared" si="7"/>
        <v>1.0371428571428571</v>
      </c>
      <c r="J21" s="89"/>
      <c r="K21" s="6">
        <v>43.6</v>
      </c>
      <c r="L21" s="96">
        <f t="shared" si="4"/>
        <v>0.5</v>
      </c>
      <c r="M21" s="6">
        <f t="shared" si="5"/>
        <v>43.6</v>
      </c>
      <c r="N21" s="86">
        <f t="shared" si="6"/>
        <v>182.2</v>
      </c>
      <c r="O21" s="151">
        <f t="shared" si="0"/>
        <v>3.8567493112946494E-3</v>
      </c>
      <c r="P21" s="153"/>
      <c r="Q21" s="6">
        <f>POWER(2,12/12)</f>
        <v>2</v>
      </c>
      <c r="R21" s="96">
        <f t="shared" si="8"/>
        <v>182.2</v>
      </c>
    </row>
    <row r="22" spans="1:18" ht="15.75" thickBot="1">
      <c r="A22" s="90" t="s">
        <v>155</v>
      </c>
      <c r="B22" s="91"/>
      <c r="C22" s="92">
        <f>SUM(C4:C21)</f>
        <v>43.6</v>
      </c>
      <c r="D22" s="93"/>
      <c r="E22" s="145">
        <f>SUM(E5:E21)</f>
        <v>1203.9844299499334</v>
      </c>
      <c r="F22" s="147"/>
      <c r="G22" s="159" t="s">
        <v>262</v>
      </c>
      <c r="H22" s="144" t="s">
        <v>261</v>
      </c>
      <c r="I22" s="160"/>
      <c r="J22" s="89"/>
      <c r="K22" s="6">
        <v>87.2</v>
      </c>
      <c r="L22" s="96">
        <f t="shared" si="4"/>
        <v>0</v>
      </c>
      <c r="M22" s="6">
        <f t="shared" si="5"/>
        <v>0</v>
      </c>
      <c r="N22" s="86"/>
      <c r="O22" s="152"/>
      <c r="P22" s="46"/>
      <c r="Q22" s="73" t="s">
        <v>266</v>
      </c>
    </row>
    <row r="23" spans="1:18">
      <c r="A23" s="75"/>
      <c r="B23" s="25"/>
      <c r="C23" s="25"/>
      <c r="D23" s="25"/>
      <c r="E23" s="94"/>
      <c r="F23" s="94"/>
      <c r="I23" s="5"/>
      <c r="J23" s="89"/>
    </row>
    <row r="24" spans="1:18">
      <c r="A24" s="25"/>
      <c r="B24" s="25"/>
      <c r="C24" s="25"/>
      <c r="D24" s="25"/>
      <c r="E24" s="25"/>
      <c r="F24" s="25"/>
      <c r="G24" s="25"/>
      <c r="H24" s="5"/>
      <c r="I24" s="5"/>
      <c r="J24" s="5"/>
    </row>
    <row r="25" spans="1:18">
      <c r="A25" s="5"/>
      <c r="B25" s="61" t="s">
        <v>265</v>
      </c>
      <c r="C25" s="5"/>
      <c r="D25" s="5"/>
      <c r="E25" s="5"/>
      <c r="F25" s="5"/>
      <c r="G25" s="5"/>
      <c r="H25" s="5"/>
      <c r="I25" s="5"/>
      <c r="J25" s="5"/>
    </row>
    <row r="26" spans="1:18">
      <c r="A26" s="5"/>
      <c r="B26" s="73" t="s">
        <v>247</v>
      </c>
      <c r="C26" s="5"/>
      <c r="D26" s="5"/>
      <c r="E26" s="5"/>
      <c r="F26" s="5"/>
      <c r="G26" s="5"/>
      <c r="H26" s="5"/>
      <c r="I26" s="5"/>
      <c r="J26" s="5"/>
    </row>
    <row r="27" spans="1:18">
      <c r="A27" s="5"/>
      <c r="B27" s="73" t="s">
        <v>248</v>
      </c>
      <c r="C27" s="5"/>
      <c r="D27" s="5"/>
      <c r="E27" s="5"/>
      <c r="F27" s="5"/>
      <c r="G27" s="5"/>
      <c r="H27" s="5"/>
      <c r="I27" s="5"/>
      <c r="J27" s="5"/>
    </row>
    <row r="28" spans="1:18">
      <c r="A28" s="5"/>
      <c r="B28" s="73" t="s">
        <v>249</v>
      </c>
      <c r="C28" s="5"/>
      <c r="D28" s="5"/>
      <c r="E28" s="5"/>
      <c r="F28" s="5"/>
      <c r="G28" s="5"/>
      <c r="H28" s="5"/>
      <c r="I28" s="5"/>
      <c r="J28" s="5"/>
    </row>
    <row r="29" spans="1:18">
      <c r="A29" s="5"/>
      <c r="B29" s="73" t="s">
        <v>250</v>
      </c>
      <c r="C29" s="5"/>
      <c r="D29" s="5"/>
      <c r="E29" s="5"/>
      <c r="F29" s="5"/>
      <c r="G29" s="5"/>
      <c r="H29" s="5"/>
      <c r="I29" s="5"/>
    </row>
    <row r="30" spans="1:18">
      <c r="A30" s="5"/>
      <c r="B30" s="73" t="s">
        <v>258</v>
      </c>
      <c r="C30" s="5"/>
      <c r="D30" s="5"/>
      <c r="E30" s="5"/>
      <c r="F30" s="5"/>
      <c r="G30" s="5"/>
      <c r="H30" s="5"/>
      <c r="I30" s="5"/>
    </row>
    <row r="31" spans="1:18">
      <c r="A31" s="5"/>
      <c r="B31" s="5"/>
      <c r="C31" s="5"/>
      <c r="D31" s="5"/>
      <c r="E31" s="5"/>
      <c r="F31" s="5"/>
      <c r="G31" s="5"/>
      <c r="H31" s="5"/>
      <c r="I31" s="5"/>
    </row>
    <row r="32" spans="1:18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8"/>
  <sheetViews>
    <sheetView tabSelected="1" workbookViewId="0">
      <selection activeCell="L15" sqref="L15"/>
    </sheetView>
  </sheetViews>
  <sheetFormatPr baseColWidth="10" defaultRowHeight="15"/>
  <cols>
    <col min="2" max="2" width="5.85546875" customWidth="1"/>
    <col min="3" max="3" width="8" customWidth="1"/>
    <col min="4" max="4" width="10.140625" customWidth="1"/>
    <col min="5" max="5" width="9.85546875" customWidth="1"/>
    <col min="6" max="6" width="8.85546875" customWidth="1"/>
    <col min="7" max="7" width="9.5703125" customWidth="1"/>
    <col min="8" max="8" width="9.140625" customWidth="1"/>
    <col min="9" max="9" width="11.140625" customWidth="1"/>
    <col min="10" max="10" width="9.28515625" customWidth="1"/>
    <col min="11" max="11" width="8.85546875" customWidth="1"/>
    <col min="12" max="12" width="18.42578125" customWidth="1"/>
    <col min="13" max="13" width="7.140625" customWidth="1"/>
    <col min="14" max="14" width="8.28515625" customWidth="1"/>
    <col min="15" max="15" width="6.5703125" customWidth="1"/>
    <col min="17" max="17" width="8.5703125" customWidth="1"/>
    <col min="18" max="18" width="3.42578125" customWidth="1"/>
    <col min="19" max="19" width="12.85546875" customWidth="1"/>
    <col min="20" max="20" width="14.28515625" customWidth="1"/>
    <col min="21" max="21" width="14.5703125" customWidth="1"/>
    <col min="22" max="22" width="11.5703125" customWidth="1"/>
  </cols>
  <sheetData>
    <row r="1" spans="1:32" ht="18.75">
      <c r="A1" s="17" t="s">
        <v>156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>
      <c r="A3" t="s">
        <v>233</v>
      </c>
      <c r="L3" t="s">
        <v>268</v>
      </c>
      <c r="T3" s="16"/>
      <c r="U3" s="16"/>
      <c r="V3" s="16"/>
      <c r="W3" s="16"/>
      <c r="X3" s="16"/>
      <c r="Y3" s="16"/>
      <c r="Z3" s="16"/>
      <c r="AA3" s="25"/>
      <c r="AB3" s="25"/>
      <c r="AC3" s="16"/>
      <c r="AD3" s="16"/>
      <c r="AE3" s="16"/>
      <c r="AF3" s="16"/>
    </row>
    <row r="4" spans="1:32">
      <c r="R4" s="16"/>
      <c r="S4" s="16"/>
      <c r="T4" s="16"/>
      <c r="U4" s="16"/>
      <c r="V4" s="25"/>
      <c r="W4" s="135"/>
      <c r="X4" s="25"/>
      <c r="Y4" s="25"/>
      <c r="Z4" s="25"/>
      <c r="AA4" s="60"/>
      <c r="AB4" s="25"/>
      <c r="AC4" s="16"/>
      <c r="AD4" s="16"/>
      <c r="AE4" s="16"/>
      <c r="AF4" s="16"/>
    </row>
    <row r="5" spans="1:32">
      <c r="A5" s="5" t="s">
        <v>94</v>
      </c>
      <c r="B5" s="5" t="s">
        <v>19</v>
      </c>
      <c r="C5" s="5" t="s">
        <v>160</v>
      </c>
      <c r="D5" s="73" t="s">
        <v>234</v>
      </c>
      <c r="E5" s="5"/>
      <c r="F5" s="5" t="s">
        <v>1</v>
      </c>
      <c r="G5" s="5" t="s">
        <v>235</v>
      </c>
      <c r="H5" s="5" t="s">
        <v>7</v>
      </c>
      <c r="I5" s="5" t="s">
        <v>96</v>
      </c>
      <c r="K5" s="5"/>
      <c r="L5" s="6" t="s">
        <v>269</v>
      </c>
      <c r="M5" s="6" t="s">
        <v>277</v>
      </c>
      <c r="N5" s="6" t="s">
        <v>279</v>
      </c>
      <c r="O5" s="5"/>
      <c r="P5" s="6" t="s">
        <v>276</v>
      </c>
      <c r="Q5" s="6" t="s">
        <v>279</v>
      </c>
      <c r="R5" s="16"/>
      <c r="S5" s="4"/>
      <c r="T5" s="6" t="s">
        <v>283</v>
      </c>
      <c r="U5" s="6" t="s">
        <v>284</v>
      </c>
      <c r="V5" s="6" t="s">
        <v>285</v>
      </c>
      <c r="W5" s="25"/>
      <c r="X5" s="25"/>
      <c r="Y5" s="25"/>
      <c r="Z5" s="25"/>
      <c r="AA5" s="60"/>
      <c r="AB5" s="25"/>
      <c r="AC5" s="16"/>
      <c r="AD5" s="16"/>
      <c r="AE5" s="16"/>
      <c r="AF5" s="16"/>
    </row>
    <row r="6" spans="1:32">
      <c r="A6" s="103" t="s">
        <v>176</v>
      </c>
      <c r="B6" s="72">
        <v>0</v>
      </c>
      <c r="C6" s="104">
        <f>B6-B4</f>
        <v>0</v>
      </c>
      <c r="D6" s="9" t="s">
        <v>11</v>
      </c>
      <c r="E6" s="9"/>
      <c r="F6" s="103">
        <v>294.34406171475359</v>
      </c>
      <c r="G6" s="96">
        <v>293.6647679174078</v>
      </c>
      <c r="H6" s="6" t="s">
        <v>11</v>
      </c>
      <c r="I6" s="8">
        <v>3.9999980108709408</v>
      </c>
      <c r="J6" s="134"/>
      <c r="K6" s="5" t="s">
        <v>270</v>
      </c>
      <c r="L6" s="165">
        <v>317.26</v>
      </c>
      <c r="M6" s="6"/>
      <c r="N6" s="6"/>
      <c r="O6" s="5"/>
      <c r="P6" s="6">
        <v>329.16</v>
      </c>
      <c r="Q6" s="6"/>
      <c r="R6" s="25"/>
      <c r="S6" s="6" t="s">
        <v>280</v>
      </c>
      <c r="T6" s="9">
        <v>290</v>
      </c>
      <c r="U6" s="6">
        <v>0</v>
      </c>
      <c r="V6" s="6">
        <v>0</v>
      </c>
      <c r="W6" s="25"/>
      <c r="X6" s="25"/>
      <c r="Y6" s="25"/>
      <c r="Z6" s="25"/>
      <c r="AA6" s="60"/>
      <c r="AB6" s="25"/>
      <c r="AC6" s="16"/>
      <c r="AD6" s="16"/>
      <c r="AE6" s="16"/>
      <c r="AF6" s="16"/>
    </row>
    <row r="7" spans="1:32">
      <c r="A7" s="96" t="s">
        <v>173</v>
      </c>
      <c r="B7" s="6">
        <v>90</v>
      </c>
      <c r="C7" s="78">
        <f>B7-B6</f>
        <v>90</v>
      </c>
      <c r="D7" s="9" t="s">
        <v>201</v>
      </c>
      <c r="E7" s="9" t="s">
        <v>205</v>
      </c>
      <c r="F7" s="96">
        <v>310.05056577500699</v>
      </c>
      <c r="G7" s="96">
        <v>311.12698372208121</v>
      </c>
      <c r="H7" s="79" t="s">
        <v>12</v>
      </c>
      <c r="I7" s="141">
        <v>-6.0000019891291494</v>
      </c>
      <c r="J7" s="134"/>
      <c r="K7" s="5" t="s">
        <v>271</v>
      </c>
      <c r="L7" s="165">
        <v>319</v>
      </c>
      <c r="M7" s="6">
        <v>1</v>
      </c>
      <c r="N7" s="96">
        <f>L7/M7</f>
        <v>319</v>
      </c>
      <c r="O7" s="5"/>
      <c r="P7" s="6">
        <v>328</v>
      </c>
      <c r="Q7" s="96">
        <f>P7/M7</f>
        <v>328</v>
      </c>
      <c r="R7" s="25"/>
      <c r="S7" s="6" t="s">
        <v>282</v>
      </c>
      <c r="T7" s="6">
        <v>315.89999999999998</v>
      </c>
      <c r="U7" s="79">
        <v>148</v>
      </c>
      <c r="V7" s="79">
        <v>150</v>
      </c>
      <c r="W7" s="25"/>
      <c r="X7" s="25"/>
      <c r="Y7" s="25"/>
      <c r="Z7" s="25"/>
      <c r="AA7" s="60"/>
      <c r="AB7" s="25"/>
      <c r="AC7" s="16"/>
      <c r="AD7" s="16"/>
      <c r="AE7" s="16"/>
      <c r="AF7" s="16"/>
    </row>
    <row r="8" spans="1:32">
      <c r="A8" s="96" t="s">
        <v>182</v>
      </c>
      <c r="B8" s="6">
        <v>114</v>
      </c>
      <c r="C8" s="78">
        <f>B8-B7</f>
        <v>24</v>
      </c>
      <c r="D8" s="9" t="s">
        <v>202</v>
      </c>
      <c r="E8" s="9" t="s">
        <v>204</v>
      </c>
      <c r="F8" s="96">
        <v>314.37871038183033</v>
      </c>
      <c r="G8" s="96">
        <v>311.12698372208121</v>
      </c>
      <c r="H8" s="79" t="s">
        <v>12</v>
      </c>
      <c r="I8" s="141">
        <v>17.999998010871181</v>
      </c>
      <c r="J8" s="134"/>
      <c r="K8" s="5" t="s">
        <v>272</v>
      </c>
      <c r="L8" s="165">
        <v>627</v>
      </c>
      <c r="M8" s="6">
        <v>2</v>
      </c>
      <c r="N8" s="96">
        <f t="shared" ref="N8:N11" si="0">L8/M8</f>
        <v>313.5</v>
      </c>
      <c r="O8" s="5"/>
      <c r="P8" s="6">
        <v>657</v>
      </c>
      <c r="Q8" s="96">
        <f t="shared" ref="Q8:Q11" si="1">P8/M8</f>
        <v>328.5</v>
      </c>
      <c r="R8" s="25"/>
      <c r="S8" s="6" t="s">
        <v>281</v>
      </c>
      <c r="T8" s="6">
        <v>328.4</v>
      </c>
      <c r="U8" s="79">
        <v>215</v>
      </c>
      <c r="V8" s="79">
        <v>200</v>
      </c>
      <c r="W8" s="25"/>
      <c r="X8" s="25"/>
      <c r="Y8" s="25"/>
      <c r="Z8" s="25"/>
      <c r="AA8" s="60"/>
      <c r="AB8" s="25"/>
      <c r="AC8" s="16"/>
      <c r="AD8" s="16"/>
      <c r="AE8" s="16"/>
      <c r="AF8" s="16"/>
    </row>
    <row r="9" spans="1:32">
      <c r="A9" s="96" t="s">
        <v>168</v>
      </c>
      <c r="B9" s="6">
        <v>180</v>
      </c>
      <c r="C9" s="78">
        <f>B9-B8</f>
        <v>66</v>
      </c>
      <c r="D9" s="9"/>
      <c r="E9" s="9" t="s">
        <v>203</v>
      </c>
      <c r="F9" s="96">
        <v>326.59518516314432</v>
      </c>
      <c r="G9" s="96">
        <v>329.62755691287026</v>
      </c>
      <c r="H9" s="79" t="s">
        <v>13</v>
      </c>
      <c r="I9" s="141">
        <v>-16.000001989129416</v>
      </c>
      <c r="J9" s="134"/>
      <c r="K9" s="5" t="s">
        <v>273</v>
      </c>
      <c r="L9" s="165">
        <v>940</v>
      </c>
      <c r="M9" s="6">
        <v>3</v>
      </c>
      <c r="N9" s="96">
        <f t="shared" si="0"/>
        <v>313.33333333333331</v>
      </c>
      <c r="O9" s="5"/>
      <c r="P9" s="6">
        <v>993</v>
      </c>
      <c r="Q9" s="96">
        <f t="shared" si="1"/>
        <v>331</v>
      </c>
      <c r="R9" s="25"/>
      <c r="S9" s="6" t="s">
        <v>286</v>
      </c>
      <c r="T9" s="6">
        <v>436</v>
      </c>
      <c r="U9" s="166">
        <v>706</v>
      </c>
      <c r="V9" s="166">
        <v>702</v>
      </c>
      <c r="W9" s="75"/>
      <c r="X9" s="137"/>
      <c r="Y9" s="75"/>
      <c r="Z9" s="137"/>
      <c r="AA9" s="136"/>
      <c r="AB9" s="16"/>
      <c r="AC9" s="16"/>
      <c r="AD9" s="16"/>
      <c r="AE9" s="16"/>
      <c r="AF9" s="16"/>
    </row>
    <row r="10" spans="1:32">
      <c r="A10" s="103" t="s">
        <v>177</v>
      </c>
      <c r="B10" s="72">
        <v>204</v>
      </c>
      <c r="C10" s="104">
        <f>B10-B9</f>
        <v>24</v>
      </c>
      <c r="D10" s="9" t="s">
        <v>13</v>
      </c>
      <c r="E10" s="6"/>
      <c r="F10" s="103">
        <v>331.15428404995009</v>
      </c>
      <c r="G10" s="96">
        <v>329.62755691287026</v>
      </c>
      <c r="H10" s="79" t="s">
        <v>13</v>
      </c>
      <c r="I10" s="141">
        <v>7.9999980108707698</v>
      </c>
      <c r="J10" s="134"/>
      <c r="K10" s="5" t="s">
        <v>274</v>
      </c>
      <c r="L10" s="165">
        <v>1277</v>
      </c>
      <c r="M10" s="6">
        <v>4</v>
      </c>
      <c r="N10" s="96">
        <f t="shared" si="0"/>
        <v>319.25</v>
      </c>
      <c r="O10" s="5"/>
      <c r="P10" s="6">
        <v>1314</v>
      </c>
      <c r="Q10" s="96">
        <f t="shared" si="1"/>
        <v>328.5</v>
      </c>
      <c r="R10" s="25"/>
      <c r="S10" s="25"/>
      <c r="T10" s="2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>
      <c r="A11" s="103" t="s">
        <v>76</v>
      </c>
      <c r="B11" s="72">
        <v>294</v>
      </c>
      <c r="C11" s="104">
        <f>B11-B10</f>
        <v>90</v>
      </c>
      <c r="D11" s="9" t="s">
        <v>14</v>
      </c>
      <c r="E11" s="9"/>
      <c r="F11" s="103">
        <v>348.82501970773734</v>
      </c>
      <c r="G11" s="96">
        <v>349.22823143300423</v>
      </c>
      <c r="H11" s="6" t="s">
        <v>14</v>
      </c>
      <c r="I11" s="8">
        <v>-2.0000019891294532</v>
      </c>
      <c r="J11" s="134"/>
      <c r="K11" s="5" t="s">
        <v>275</v>
      </c>
      <c r="L11" s="165">
        <v>1571</v>
      </c>
      <c r="M11" s="6">
        <v>5</v>
      </c>
      <c r="N11" s="96">
        <f t="shared" si="0"/>
        <v>314.2</v>
      </c>
      <c r="O11" s="5"/>
      <c r="P11" s="6">
        <v>1630</v>
      </c>
      <c r="Q11" s="96">
        <f t="shared" si="1"/>
        <v>326</v>
      </c>
      <c r="R11" s="25"/>
      <c r="S11" s="25"/>
      <c r="T11" s="2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>
      <c r="A12" s="103" t="s">
        <v>175</v>
      </c>
      <c r="B12" s="72">
        <v>498</v>
      </c>
      <c r="C12" s="104">
        <v>204</v>
      </c>
      <c r="D12" s="9" t="s">
        <v>16</v>
      </c>
      <c r="E12" s="6"/>
      <c r="F12" s="103">
        <v>392.44854809393109</v>
      </c>
      <c r="G12" s="96">
        <v>391.99543598174972</v>
      </c>
      <c r="H12" s="6" t="s">
        <v>16</v>
      </c>
      <c r="I12" s="8">
        <v>1.9999980108706901</v>
      </c>
      <c r="J12" s="134"/>
      <c r="K12" s="5" t="s">
        <v>278</v>
      </c>
      <c r="L12" s="165"/>
      <c r="M12" s="6"/>
      <c r="N12" s="96">
        <f>(N7+N8+N9+N10+N11)/5</f>
        <v>315.85666666666668</v>
      </c>
      <c r="O12" s="89"/>
      <c r="P12" s="96"/>
      <c r="Q12" s="96">
        <f t="shared" ref="O12:Q12" si="2">(Q7+Q8+Q9+Q10+Q11)/5</f>
        <v>328.4</v>
      </c>
      <c r="AA12" s="25"/>
      <c r="AB12" s="25"/>
      <c r="AC12" s="16"/>
      <c r="AD12" s="16"/>
      <c r="AE12" s="16"/>
      <c r="AF12" s="16"/>
    </row>
    <row r="13" spans="1:32">
      <c r="A13" s="103" t="s">
        <v>4</v>
      </c>
      <c r="B13" s="72">
        <v>702</v>
      </c>
      <c r="C13" s="104">
        <v>204</v>
      </c>
      <c r="D13" s="9" t="s">
        <v>18</v>
      </c>
      <c r="E13" s="9"/>
      <c r="F13" s="103">
        <v>441.52756883688147</v>
      </c>
      <c r="G13" s="96">
        <v>440.00000000000051</v>
      </c>
      <c r="H13" s="6" t="s">
        <v>18</v>
      </c>
      <c r="I13" s="8">
        <v>5.9999980108703737</v>
      </c>
      <c r="J13" s="134"/>
      <c r="L13" s="139"/>
      <c r="AA13" s="60"/>
      <c r="AB13" s="25"/>
      <c r="AC13" s="16"/>
      <c r="AD13" s="16"/>
      <c r="AE13" s="16"/>
      <c r="AF13" s="16"/>
    </row>
    <row r="14" spans="1:32">
      <c r="A14" s="60"/>
      <c r="B14" s="60"/>
      <c r="C14" s="60"/>
      <c r="D14" s="60"/>
      <c r="E14" s="60"/>
      <c r="F14" s="94"/>
      <c r="G14" s="94"/>
      <c r="H14" s="25"/>
      <c r="I14" s="26"/>
      <c r="L14" s="167" t="s">
        <v>287</v>
      </c>
      <c r="AA14" s="60"/>
      <c r="AB14" s="25"/>
      <c r="AC14" s="16"/>
      <c r="AD14" s="16"/>
      <c r="AE14" s="16"/>
      <c r="AF14" s="16"/>
    </row>
    <row r="15" spans="1:32">
      <c r="A15" s="132" t="s">
        <v>236</v>
      </c>
      <c r="B15" t="s">
        <v>242</v>
      </c>
      <c r="C15" s="60"/>
      <c r="D15" s="60"/>
      <c r="E15" s="60"/>
      <c r="F15" s="94"/>
      <c r="G15" s="94"/>
      <c r="H15" s="25"/>
      <c r="I15" s="26"/>
      <c r="L15" s="139"/>
      <c r="AA15" s="60"/>
      <c r="AB15" s="25"/>
      <c r="AC15" s="16"/>
      <c r="AD15" s="16"/>
      <c r="AE15" s="16"/>
      <c r="AF15" s="16"/>
    </row>
    <row r="16" spans="1:32">
      <c r="A16" s="102" t="s">
        <v>176</v>
      </c>
      <c r="B16" s="9">
        <v>0</v>
      </c>
      <c r="C16" s="9">
        <v>0</v>
      </c>
      <c r="D16" s="9" t="s">
        <v>11</v>
      </c>
      <c r="E16" s="9"/>
      <c r="F16" s="96">
        <v>294.34406171475359</v>
      </c>
      <c r="G16" s="96">
        <v>293.6647679174078</v>
      </c>
      <c r="H16" s="6" t="s">
        <v>11</v>
      </c>
      <c r="I16" s="8">
        <v>4</v>
      </c>
      <c r="L16" s="133"/>
      <c r="AA16" s="60"/>
      <c r="AB16" s="25"/>
      <c r="AC16" s="16"/>
      <c r="AD16" s="16"/>
      <c r="AE16" s="16"/>
      <c r="AF16" s="16"/>
    </row>
    <row r="17" spans="1:32">
      <c r="A17" s="6" t="s">
        <v>177</v>
      </c>
      <c r="B17" s="6">
        <v>204</v>
      </c>
      <c r="C17" s="6">
        <v>204</v>
      </c>
      <c r="D17" s="6" t="s">
        <v>13</v>
      </c>
      <c r="E17" s="6"/>
      <c r="F17" s="96">
        <v>331.15428404995009</v>
      </c>
      <c r="G17" s="96">
        <v>329.62755691287026</v>
      </c>
      <c r="H17" s="79" t="s">
        <v>13</v>
      </c>
      <c r="I17" s="141">
        <v>8</v>
      </c>
      <c r="L17" s="139"/>
      <c r="AA17" s="60"/>
      <c r="AB17" s="25"/>
      <c r="AC17" s="16"/>
      <c r="AD17" s="16"/>
      <c r="AE17" s="16"/>
      <c r="AF17" s="16"/>
    </row>
    <row r="18" spans="1:32">
      <c r="A18" s="6" t="s">
        <v>76</v>
      </c>
      <c r="B18" s="6">
        <v>294</v>
      </c>
      <c r="C18" s="6">
        <v>90</v>
      </c>
      <c r="D18" s="6" t="s">
        <v>14</v>
      </c>
      <c r="E18" s="6"/>
      <c r="F18" s="96">
        <v>348.82501970773734</v>
      </c>
      <c r="G18" s="96">
        <v>349.22823143300423</v>
      </c>
      <c r="H18" s="6" t="s">
        <v>14</v>
      </c>
      <c r="I18" s="8">
        <v>-2</v>
      </c>
      <c r="L18" s="139"/>
      <c r="R18" s="25"/>
      <c r="S18" s="25"/>
      <c r="T18" s="25"/>
      <c r="U18" s="16"/>
      <c r="V18" s="137"/>
      <c r="W18" s="75"/>
      <c r="X18" s="137"/>
      <c r="Y18" s="75"/>
      <c r="Z18" s="137"/>
      <c r="AA18" s="136"/>
      <c r="AB18" s="16"/>
      <c r="AC18" s="16"/>
      <c r="AD18" s="16"/>
      <c r="AE18" s="16"/>
      <c r="AF18" s="16"/>
    </row>
    <row r="19" spans="1:32">
      <c r="A19" s="6" t="s">
        <v>175</v>
      </c>
      <c r="B19" s="6">
        <v>498</v>
      </c>
      <c r="C19" s="6">
        <v>204</v>
      </c>
      <c r="D19" s="6" t="s">
        <v>16</v>
      </c>
      <c r="E19" s="6"/>
      <c r="F19" s="96">
        <v>392.44854809393109</v>
      </c>
      <c r="G19" s="96">
        <v>391.99543598174972</v>
      </c>
      <c r="H19" s="6" t="s">
        <v>16</v>
      </c>
      <c r="I19" s="8">
        <v>2</v>
      </c>
      <c r="L19" s="139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>
      <c r="A20" s="6" t="s">
        <v>4</v>
      </c>
      <c r="B20" s="6">
        <v>702</v>
      </c>
      <c r="C20" s="6">
        <v>204</v>
      </c>
      <c r="D20" s="6" t="s">
        <v>18</v>
      </c>
      <c r="E20" s="6"/>
      <c r="F20" s="96">
        <v>441.52756883688147</v>
      </c>
      <c r="G20" s="96">
        <v>440.00000000000051</v>
      </c>
      <c r="H20" s="6" t="s">
        <v>18</v>
      </c>
      <c r="I20" s="8">
        <v>6</v>
      </c>
      <c r="T20" s="16"/>
      <c r="U20" s="16"/>
      <c r="V20" s="16"/>
      <c r="W20" s="16"/>
      <c r="X20" s="16"/>
      <c r="Y20" s="16"/>
      <c r="Z20" s="16"/>
      <c r="AA20" s="25"/>
      <c r="AB20" s="25"/>
      <c r="AC20" s="16"/>
      <c r="AD20" s="16"/>
      <c r="AE20" s="16"/>
      <c r="AF20" s="16"/>
    </row>
    <row r="21" spans="1:32">
      <c r="I21" s="140"/>
      <c r="T21" s="16"/>
      <c r="U21" s="138"/>
      <c r="V21" s="25"/>
      <c r="W21" s="135"/>
      <c r="X21" s="25"/>
      <c r="Y21" s="25"/>
      <c r="Z21" s="25"/>
      <c r="AA21" s="60"/>
      <c r="AB21" s="25"/>
      <c r="AC21" s="16"/>
      <c r="AD21" s="16"/>
      <c r="AE21" s="16"/>
      <c r="AF21" s="16"/>
    </row>
    <row r="22" spans="1:32">
      <c r="A22" s="5" t="s">
        <v>237</v>
      </c>
      <c r="B22" t="s">
        <v>255</v>
      </c>
      <c r="I22" s="140"/>
      <c r="T22" s="16"/>
      <c r="U22" s="16"/>
      <c r="V22" s="25"/>
      <c r="W22" s="25"/>
      <c r="X22" s="25"/>
      <c r="Y22" s="25"/>
      <c r="Z22" s="25"/>
      <c r="AA22" s="60"/>
      <c r="AB22" s="25"/>
      <c r="AC22" s="16"/>
      <c r="AD22" s="16"/>
      <c r="AE22" s="16"/>
      <c r="AF22" s="16"/>
    </row>
    <row r="23" spans="1:32">
      <c r="A23" s="102" t="s">
        <v>176</v>
      </c>
      <c r="B23" s="9">
        <v>0</v>
      </c>
      <c r="C23" s="9">
        <v>0</v>
      </c>
      <c r="D23" s="9" t="s">
        <v>11</v>
      </c>
      <c r="E23" s="9"/>
      <c r="F23" s="96">
        <v>294.34406171475359</v>
      </c>
      <c r="G23" s="96">
        <v>293.6647679174078</v>
      </c>
      <c r="H23" s="6" t="s">
        <v>11</v>
      </c>
      <c r="I23" s="8">
        <v>4</v>
      </c>
      <c r="T23" s="16"/>
      <c r="U23" s="16"/>
      <c r="V23" s="25"/>
      <c r="W23" s="25"/>
      <c r="X23" s="25"/>
      <c r="Y23" s="25"/>
      <c r="Z23" s="25"/>
      <c r="AA23" s="60"/>
      <c r="AB23" s="25"/>
      <c r="AC23" s="16"/>
      <c r="AD23" s="16"/>
      <c r="AE23" s="16"/>
      <c r="AF23" s="16"/>
    </row>
    <row r="24" spans="1:32">
      <c r="A24" s="6" t="s">
        <v>168</v>
      </c>
      <c r="B24" s="6">
        <v>180</v>
      </c>
      <c r="C24" s="6">
        <v>180</v>
      </c>
      <c r="D24" s="6" t="s">
        <v>203</v>
      </c>
      <c r="F24" s="96">
        <v>326.59518516314432</v>
      </c>
      <c r="G24" s="96">
        <v>329.62755691287026</v>
      </c>
      <c r="H24" s="79" t="s">
        <v>13</v>
      </c>
      <c r="I24" s="141">
        <v>-16</v>
      </c>
      <c r="T24" s="16"/>
      <c r="U24" s="16"/>
      <c r="V24" s="25"/>
      <c r="W24" s="25"/>
      <c r="X24" s="25"/>
      <c r="Y24" s="25"/>
      <c r="Z24" s="25"/>
      <c r="AA24" s="60"/>
      <c r="AB24" s="25"/>
      <c r="AC24" s="16"/>
      <c r="AD24" s="16"/>
      <c r="AE24" s="16"/>
      <c r="AF24" s="16"/>
    </row>
    <row r="25" spans="1:32">
      <c r="A25" s="6" t="s">
        <v>76</v>
      </c>
      <c r="B25" s="6">
        <v>294</v>
      </c>
      <c r="C25" s="6">
        <v>114</v>
      </c>
      <c r="D25" s="6" t="s">
        <v>14</v>
      </c>
      <c r="E25" s="6"/>
      <c r="F25" s="96">
        <v>348.82501970773734</v>
      </c>
      <c r="G25" s="96">
        <v>349.22823143300423</v>
      </c>
      <c r="H25" s="6" t="s">
        <v>14</v>
      </c>
      <c r="I25" s="8">
        <v>-2</v>
      </c>
      <c r="T25" s="16"/>
      <c r="U25" s="16"/>
      <c r="V25" s="25"/>
      <c r="W25" s="25"/>
      <c r="X25" s="25"/>
      <c r="Y25" s="25"/>
      <c r="Z25" s="25"/>
      <c r="AA25" s="60"/>
      <c r="AB25" s="25"/>
      <c r="AC25" s="16"/>
      <c r="AD25" s="16"/>
      <c r="AE25" s="16"/>
      <c r="AF25" s="16"/>
    </row>
    <row r="26" spans="1:32">
      <c r="A26" s="6" t="s">
        <v>175</v>
      </c>
      <c r="B26" s="6">
        <v>498</v>
      </c>
      <c r="C26" s="6">
        <v>204</v>
      </c>
      <c r="D26" s="6" t="s">
        <v>16</v>
      </c>
      <c r="E26" s="6"/>
      <c r="F26" s="96">
        <v>392.44854809393109</v>
      </c>
      <c r="G26" s="96">
        <v>391.99543598174972</v>
      </c>
      <c r="H26" s="6" t="s">
        <v>16</v>
      </c>
      <c r="I26" s="8">
        <v>2</v>
      </c>
      <c r="T26" s="16"/>
      <c r="U26" s="16"/>
      <c r="V26" s="137"/>
      <c r="W26" s="75"/>
      <c r="X26" s="137"/>
      <c r="Y26" s="75"/>
      <c r="Z26" s="137"/>
      <c r="AA26" s="136"/>
      <c r="AB26" s="16"/>
      <c r="AC26" s="16"/>
      <c r="AD26" s="16"/>
      <c r="AE26" s="16"/>
      <c r="AF26" s="16"/>
    </row>
    <row r="27" spans="1:32">
      <c r="A27" s="6" t="s">
        <v>4</v>
      </c>
      <c r="B27" s="6">
        <v>702</v>
      </c>
      <c r="C27" s="6">
        <v>204</v>
      </c>
      <c r="D27" s="6" t="s">
        <v>18</v>
      </c>
      <c r="E27" s="6"/>
      <c r="F27" s="96">
        <v>441.52756883688147</v>
      </c>
      <c r="G27" s="96">
        <v>440.00000000000051</v>
      </c>
      <c r="H27" s="6" t="s">
        <v>18</v>
      </c>
      <c r="I27" s="8">
        <v>6</v>
      </c>
    </row>
    <row r="29" spans="1:32">
      <c r="A29" s="60" t="s">
        <v>238</v>
      </c>
      <c r="B29" t="s">
        <v>241</v>
      </c>
      <c r="I29" s="140"/>
    </row>
    <row r="30" spans="1:32">
      <c r="A30" s="102" t="s">
        <v>176</v>
      </c>
      <c r="B30" s="9">
        <v>0</v>
      </c>
      <c r="C30" s="9">
        <v>0</v>
      </c>
      <c r="D30" s="9" t="s">
        <v>11</v>
      </c>
      <c r="E30" s="9"/>
      <c r="F30" s="96">
        <v>294.34406171475359</v>
      </c>
      <c r="G30" s="96">
        <v>293.6647679174078</v>
      </c>
      <c r="H30" s="6" t="s">
        <v>11</v>
      </c>
      <c r="I30" s="8">
        <v>4</v>
      </c>
      <c r="J30" t="s">
        <v>38</v>
      </c>
    </row>
    <row r="31" spans="1:32">
      <c r="A31" s="6" t="s">
        <v>182</v>
      </c>
      <c r="B31" s="6">
        <v>114</v>
      </c>
      <c r="C31" s="6">
        <v>114</v>
      </c>
      <c r="D31" s="6" t="s">
        <v>204</v>
      </c>
      <c r="F31" s="96">
        <v>314.37871038183033</v>
      </c>
      <c r="G31" s="96">
        <v>311.12698372208121</v>
      </c>
      <c r="H31" s="79" t="s">
        <v>13</v>
      </c>
      <c r="I31" s="141">
        <v>-82</v>
      </c>
      <c r="J31" t="s">
        <v>80</v>
      </c>
      <c r="K31" s="73" t="s">
        <v>240</v>
      </c>
    </row>
    <row r="32" spans="1:32">
      <c r="A32" s="6" t="s">
        <v>76</v>
      </c>
      <c r="B32" s="6">
        <v>294</v>
      </c>
      <c r="C32" s="6">
        <v>180</v>
      </c>
      <c r="D32" s="6" t="s">
        <v>14</v>
      </c>
      <c r="E32" s="6"/>
      <c r="F32" s="96">
        <v>348.82501970773734</v>
      </c>
      <c r="G32" s="96">
        <v>349.22823143300423</v>
      </c>
      <c r="H32" s="6" t="s">
        <v>14</v>
      </c>
      <c r="I32" s="8">
        <v>-2</v>
      </c>
      <c r="J32" t="s">
        <v>79</v>
      </c>
    </row>
    <row r="33" spans="1:10">
      <c r="A33" s="6" t="s">
        <v>175</v>
      </c>
      <c r="B33" s="6">
        <v>498</v>
      </c>
      <c r="C33" s="6">
        <v>204</v>
      </c>
      <c r="D33" s="6" t="s">
        <v>16</v>
      </c>
      <c r="E33" s="6"/>
      <c r="F33" s="96">
        <v>392.44854809393109</v>
      </c>
      <c r="G33" s="96">
        <v>391.99543598174972</v>
      </c>
      <c r="H33" s="6" t="s">
        <v>16</v>
      </c>
      <c r="I33" s="8">
        <v>2</v>
      </c>
      <c r="J33" t="s">
        <v>42</v>
      </c>
    </row>
    <row r="34" spans="1:10">
      <c r="A34" s="6" t="s">
        <v>4</v>
      </c>
      <c r="B34" s="6">
        <v>702</v>
      </c>
      <c r="C34" s="6">
        <v>204</v>
      </c>
      <c r="D34" s="6" t="s">
        <v>18</v>
      </c>
      <c r="E34" s="6"/>
      <c r="F34" s="96">
        <v>441.52756883688147</v>
      </c>
      <c r="G34" s="96">
        <v>440.00000000000051</v>
      </c>
      <c r="H34" s="6" t="s">
        <v>18</v>
      </c>
      <c r="I34" s="8">
        <v>6</v>
      </c>
      <c r="J34" t="s">
        <v>41</v>
      </c>
    </row>
    <row r="35" spans="1:10">
      <c r="I35" s="140"/>
    </row>
    <row r="36" spans="1:10">
      <c r="A36" s="60" t="s">
        <v>239</v>
      </c>
      <c r="B36" t="s">
        <v>243</v>
      </c>
      <c r="I36" s="140"/>
    </row>
    <row r="37" spans="1:10">
      <c r="A37" s="102" t="s">
        <v>176</v>
      </c>
      <c r="B37" s="9">
        <v>0</v>
      </c>
      <c r="C37" s="9">
        <v>0</v>
      </c>
      <c r="D37" s="9" t="s">
        <v>11</v>
      </c>
      <c r="E37" s="9"/>
      <c r="F37" s="96">
        <v>294.34406171475359</v>
      </c>
      <c r="G37" s="96">
        <v>293.6647679174078</v>
      </c>
      <c r="H37" s="6" t="s">
        <v>11</v>
      </c>
      <c r="I37" s="8">
        <v>4</v>
      </c>
    </row>
    <row r="38" spans="1:10">
      <c r="A38" s="96" t="s">
        <v>173</v>
      </c>
      <c r="B38" s="6">
        <v>90</v>
      </c>
      <c r="C38" s="78">
        <f>B38-B37</f>
        <v>90</v>
      </c>
      <c r="D38" s="9" t="s">
        <v>205</v>
      </c>
      <c r="E38" s="4"/>
      <c r="F38" s="96">
        <v>310.05056577500699</v>
      </c>
      <c r="G38" s="96">
        <v>311.12698372208121</v>
      </c>
      <c r="H38" s="79" t="s">
        <v>12</v>
      </c>
      <c r="I38" s="141">
        <v>-6</v>
      </c>
    </row>
    <row r="39" spans="1:10">
      <c r="A39" s="6" t="s">
        <v>76</v>
      </c>
      <c r="B39" s="6">
        <v>294</v>
      </c>
      <c r="C39" s="6">
        <v>204</v>
      </c>
      <c r="D39" s="6" t="s">
        <v>14</v>
      </c>
      <c r="E39" s="6"/>
      <c r="F39" s="96">
        <v>348.82501970773734</v>
      </c>
      <c r="G39" s="96">
        <v>349.22823143300423</v>
      </c>
      <c r="H39" s="6" t="s">
        <v>14</v>
      </c>
      <c r="I39" s="8">
        <v>-2</v>
      </c>
    </row>
    <row r="40" spans="1:10">
      <c r="A40" s="6" t="s">
        <v>175</v>
      </c>
      <c r="B40" s="6">
        <v>498</v>
      </c>
      <c r="C40" s="6">
        <v>204</v>
      </c>
      <c r="D40" s="6" t="s">
        <v>16</v>
      </c>
      <c r="E40" s="6"/>
      <c r="F40" s="96">
        <v>392.44854809393109</v>
      </c>
      <c r="G40" s="96">
        <v>391.99543598174972</v>
      </c>
      <c r="H40" s="6" t="s">
        <v>16</v>
      </c>
      <c r="I40" s="8">
        <v>2</v>
      </c>
    </row>
    <row r="41" spans="1:10">
      <c r="A41" s="6" t="s">
        <v>4</v>
      </c>
      <c r="B41" s="6">
        <v>702</v>
      </c>
      <c r="C41" s="6">
        <v>204</v>
      </c>
      <c r="D41" s="6" t="s">
        <v>18</v>
      </c>
      <c r="E41" s="6"/>
      <c r="F41" s="96">
        <v>441.52756883688147</v>
      </c>
      <c r="G41" s="96">
        <v>440.00000000000051</v>
      </c>
      <c r="H41" s="6" t="s">
        <v>18</v>
      </c>
      <c r="I41" s="8">
        <v>6</v>
      </c>
    </row>
    <row r="43" spans="1:10" ht="31.5">
      <c r="A43" s="150" t="s">
        <v>251</v>
      </c>
      <c r="J43" s="149" t="s">
        <v>254</v>
      </c>
    </row>
    <row r="44" spans="1:10">
      <c r="A44" s="6" t="s">
        <v>176</v>
      </c>
      <c r="B44" s="6">
        <v>0</v>
      </c>
      <c r="C44" s="6">
        <v>0</v>
      </c>
      <c r="D44" s="6" t="s">
        <v>11</v>
      </c>
      <c r="E44" s="6"/>
      <c r="F44" s="6">
        <v>294.34406171475359</v>
      </c>
      <c r="G44" s="6">
        <v>293.6647679174078</v>
      </c>
      <c r="H44" s="6" t="s">
        <v>11</v>
      </c>
      <c r="I44" s="6">
        <v>0</v>
      </c>
    </row>
    <row r="45" spans="1:10">
      <c r="A45" s="6" t="s">
        <v>252</v>
      </c>
      <c r="B45" s="6">
        <v>150</v>
      </c>
      <c r="C45" s="6">
        <v>150</v>
      </c>
      <c r="D45" s="6" t="s">
        <v>253</v>
      </c>
      <c r="E45" s="6"/>
      <c r="F45" s="6"/>
      <c r="G45" s="6"/>
      <c r="H45" s="6" t="s">
        <v>12</v>
      </c>
      <c r="I45" s="6">
        <v>50</v>
      </c>
    </row>
    <row r="46" spans="1:10">
      <c r="A46" s="6" t="s">
        <v>76</v>
      </c>
      <c r="B46" s="6">
        <v>300</v>
      </c>
      <c r="C46" s="6">
        <v>150</v>
      </c>
      <c r="D46" s="6" t="s">
        <v>14</v>
      </c>
      <c r="E46" s="6"/>
      <c r="F46" s="6">
        <v>348.82501970773734</v>
      </c>
      <c r="G46" s="6">
        <v>349.22823143300423</v>
      </c>
      <c r="H46" s="6" t="s">
        <v>14</v>
      </c>
      <c r="I46" s="6">
        <v>0</v>
      </c>
    </row>
    <row r="47" spans="1:10">
      <c r="A47" s="6" t="s">
        <v>175</v>
      </c>
      <c r="B47" s="6">
        <v>500</v>
      </c>
      <c r="C47" s="6">
        <v>200</v>
      </c>
      <c r="D47" s="6" t="s">
        <v>16</v>
      </c>
      <c r="E47" s="6"/>
      <c r="F47" s="6">
        <v>392.44854809393109</v>
      </c>
      <c r="G47" s="6">
        <v>391.99543598174972</v>
      </c>
      <c r="H47" s="6" t="s">
        <v>16</v>
      </c>
      <c r="I47" s="6">
        <v>0</v>
      </c>
    </row>
    <row r="48" spans="1:10">
      <c r="A48" s="6" t="s">
        <v>4</v>
      </c>
      <c r="B48" s="6">
        <v>700</v>
      </c>
      <c r="C48" s="6">
        <v>200</v>
      </c>
      <c r="D48" s="6" t="s">
        <v>18</v>
      </c>
      <c r="E48" s="6"/>
      <c r="F48" s="6">
        <v>441.52756883688147</v>
      </c>
      <c r="G48" s="6">
        <v>440.00000000000051</v>
      </c>
      <c r="H48" s="6" t="s">
        <v>18</v>
      </c>
      <c r="I48" s="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I18" sqref="I18"/>
    </sheetView>
  </sheetViews>
  <sheetFormatPr baseColWidth="10" defaultRowHeight="15"/>
  <cols>
    <col min="1" max="1" width="5.140625" customWidth="1"/>
    <col min="2" max="3" width="15.42578125" customWidth="1"/>
    <col min="4" max="4" width="10.7109375" customWidth="1"/>
    <col min="5" max="5" width="8.7109375" customWidth="1"/>
    <col min="8" max="8" width="7" customWidth="1"/>
    <col min="9" max="9" width="8.42578125" customWidth="1"/>
    <col min="10" max="10" width="8.7109375" customWidth="1"/>
    <col min="11" max="11" width="11.28515625" customWidth="1"/>
    <col min="13" max="13" width="7.42578125" customWidth="1"/>
  </cols>
  <sheetData>
    <row r="1" spans="1:13" ht="18.75">
      <c r="B1" s="54" t="s">
        <v>71</v>
      </c>
    </row>
    <row r="2" spans="1:13">
      <c r="B2" t="s">
        <v>52</v>
      </c>
      <c r="D2" t="s">
        <v>54</v>
      </c>
      <c r="G2" t="s">
        <v>55</v>
      </c>
      <c r="I2" t="s">
        <v>53</v>
      </c>
      <c r="L2" s="25" t="s">
        <v>67</v>
      </c>
      <c r="M2" s="16"/>
    </row>
    <row r="3" spans="1:13">
      <c r="B3" s="37" t="s">
        <v>43</v>
      </c>
      <c r="C3" s="31" t="s">
        <v>44</v>
      </c>
      <c r="D3" s="29" t="s">
        <v>45</v>
      </c>
      <c r="E3" s="30"/>
      <c r="F3" s="31" t="s">
        <v>19</v>
      </c>
      <c r="G3" s="29" t="s">
        <v>51</v>
      </c>
      <c r="H3" s="40"/>
      <c r="I3" s="45" t="s">
        <v>73</v>
      </c>
      <c r="J3" s="30" t="s">
        <v>19</v>
      </c>
      <c r="K3" s="31" t="s">
        <v>61</v>
      </c>
      <c r="L3" s="37" t="s">
        <v>72</v>
      </c>
      <c r="M3" s="40" t="s">
        <v>19</v>
      </c>
    </row>
    <row r="4" spans="1:13">
      <c r="A4" t="s">
        <v>37</v>
      </c>
      <c r="B4" s="32">
        <v>319.565</v>
      </c>
      <c r="C4" s="38">
        <v>319.565</v>
      </c>
      <c r="D4" s="32" t="s">
        <v>46</v>
      </c>
      <c r="E4" s="25">
        <v>311.10000000000002</v>
      </c>
      <c r="F4" s="33">
        <f>1200*(LN(C4/E4)/LN(2))</f>
        <v>46.477214977829817</v>
      </c>
      <c r="G4" s="41">
        <f t="shared" ref="G4:G9" si="0">F4-17.4</f>
        <v>29.077214977829819</v>
      </c>
      <c r="H4" s="57" t="s">
        <v>48</v>
      </c>
      <c r="I4" s="32"/>
      <c r="J4" s="25"/>
      <c r="K4" s="42"/>
      <c r="L4" s="32">
        <v>313</v>
      </c>
      <c r="M4" s="42"/>
    </row>
    <row r="5" spans="1:13">
      <c r="A5" t="s">
        <v>38</v>
      </c>
      <c r="B5" s="32">
        <v>280.892</v>
      </c>
      <c r="C5" s="38">
        <v>280.892</v>
      </c>
      <c r="D5" s="32" t="s">
        <v>47</v>
      </c>
      <c r="E5" s="25">
        <v>277.2</v>
      </c>
      <c r="F5" s="33">
        <f t="shared" ref="F5:F9" si="1">1200*(LN(C5/E5)/LN(2))</f>
        <v>22.905934336406983</v>
      </c>
      <c r="G5" s="41">
        <f t="shared" si="0"/>
        <v>5.5059343364069839</v>
      </c>
      <c r="H5" s="57" t="s">
        <v>2</v>
      </c>
      <c r="I5" s="32" t="s">
        <v>56</v>
      </c>
      <c r="J5" s="47">
        <f>1200*(LN(E4/E5)/LN(2))</f>
        <v>199.74136487660186</v>
      </c>
      <c r="K5" s="48">
        <f>E4/E5</f>
        <v>1.1222943722943723</v>
      </c>
      <c r="L5" s="32">
        <v>278</v>
      </c>
      <c r="M5" s="55">
        <f>1200*(LN(L4/L5)/LN(2))</f>
        <v>205.29332905093327</v>
      </c>
    </row>
    <row r="6" spans="1:13">
      <c r="A6" t="s">
        <v>39</v>
      </c>
      <c r="B6" s="32">
        <v>249.15299999999999</v>
      </c>
      <c r="C6" s="38">
        <v>249.15299999999999</v>
      </c>
      <c r="D6" s="32" t="s">
        <v>48</v>
      </c>
      <c r="E6" s="25">
        <v>246.9</v>
      </c>
      <c r="F6" s="33">
        <f t="shared" si="1"/>
        <v>15.726130607314747</v>
      </c>
      <c r="G6" s="41">
        <f t="shared" si="0"/>
        <v>-1.6738693926852513</v>
      </c>
      <c r="H6" s="57" t="s">
        <v>78</v>
      </c>
      <c r="I6" s="32" t="s">
        <v>57</v>
      </c>
      <c r="J6" s="47">
        <f>1200*(LN(E5/E6)/LN(2))</f>
        <v>200.40050519331805</v>
      </c>
      <c r="K6" s="48">
        <f t="shared" ref="K6:K9" si="2">E5/E6</f>
        <v>1.1227217496962332</v>
      </c>
      <c r="L6" s="32">
        <v>244</v>
      </c>
      <c r="M6" s="55">
        <f>1200*(LN(L5/L6)/LN(2))</f>
        <v>225.84448219274546</v>
      </c>
    </row>
    <row r="7" spans="1:13">
      <c r="A7" t="s">
        <v>40</v>
      </c>
      <c r="B7" s="32">
        <v>233.333</v>
      </c>
      <c r="C7" s="38">
        <v>233.333</v>
      </c>
      <c r="D7" s="32" t="s">
        <v>49</v>
      </c>
      <c r="E7" s="25">
        <v>233.1</v>
      </c>
      <c r="F7" s="33">
        <f t="shared" si="1"/>
        <v>1.729627050337109</v>
      </c>
      <c r="G7" s="41">
        <f t="shared" si="0"/>
        <v>-15.670372949662889</v>
      </c>
      <c r="H7" s="57" t="s">
        <v>77</v>
      </c>
      <c r="I7" s="32" t="s">
        <v>58</v>
      </c>
      <c r="J7" s="47">
        <f>1200*(LN(E6/E7)/LN(2))</f>
        <v>99.57339841669878</v>
      </c>
      <c r="K7" s="48">
        <f t="shared" si="2"/>
        <v>1.0592020592020592</v>
      </c>
      <c r="L7" s="32">
        <v>230</v>
      </c>
      <c r="M7" s="55">
        <f>1200*(LN(L6/L7)/LN(2))</f>
        <v>102.29674394221341</v>
      </c>
    </row>
    <row r="8" spans="1:13">
      <c r="A8" t="s">
        <v>41</v>
      </c>
      <c r="B8" s="32">
        <v>432.35300000000001</v>
      </c>
      <c r="C8" s="38">
        <f>B8/2</f>
        <v>216.1765</v>
      </c>
      <c r="D8" s="32" t="s">
        <v>2</v>
      </c>
      <c r="E8" s="25">
        <v>220</v>
      </c>
      <c r="F8" s="33">
        <f t="shared" si="1"/>
        <v>-30.352588654660433</v>
      </c>
      <c r="G8" s="41">
        <f t="shared" si="0"/>
        <v>-47.752588654660428</v>
      </c>
      <c r="H8" s="57" t="s">
        <v>76</v>
      </c>
      <c r="I8" s="32" t="s">
        <v>60</v>
      </c>
      <c r="J8" s="47">
        <f>1200*(LN(E7/E8)/LN(2))</f>
        <v>100.1345768602132</v>
      </c>
      <c r="K8" s="48">
        <f t="shared" si="2"/>
        <v>1.0595454545454546</v>
      </c>
      <c r="L8" s="32">
        <v>223</v>
      </c>
      <c r="M8" s="55">
        <f>1200*(LN(L7/L8)/LN(2))</f>
        <v>53.508181228884737</v>
      </c>
    </row>
    <row r="9" spans="1:13">
      <c r="A9" t="s">
        <v>42</v>
      </c>
      <c r="B9" s="34">
        <v>373.72899999999998</v>
      </c>
      <c r="C9" s="39">
        <f>B9/2</f>
        <v>186.86449999999999</v>
      </c>
      <c r="D9" s="34" t="s">
        <v>50</v>
      </c>
      <c r="E9" s="35">
        <v>185</v>
      </c>
      <c r="F9" s="36">
        <f t="shared" si="1"/>
        <v>17.36069419886908</v>
      </c>
      <c r="G9" s="43">
        <f t="shared" si="0"/>
        <v>-3.9305801130918638E-2</v>
      </c>
      <c r="H9" s="58" t="s">
        <v>75</v>
      </c>
      <c r="I9" s="34" t="s">
        <v>59</v>
      </c>
      <c r="J9" s="50">
        <f>1200*(LN(E8/E9)/LN(2))</f>
        <v>299.97390361001709</v>
      </c>
      <c r="K9" s="51">
        <f t="shared" si="2"/>
        <v>1.1891891891891893</v>
      </c>
      <c r="L9" s="34">
        <v>185</v>
      </c>
      <c r="M9" s="56">
        <f>1200*(LN(L8/L9)/LN(2))</f>
        <v>323.42212728479103</v>
      </c>
    </row>
    <row r="10" spans="1:13">
      <c r="I10" s="59" t="s">
        <v>74</v>
      </c>
    </row>
    <row r="12" spans="1:13">
      <c r="B12" t="s">
        <v>62</v>
      </c>
      <c r="G12" t="s">
        <v>68</v>
      </c>
    </row>
    <row r="13" spans="1:13">
      <c r="B13" s="45" t="s">
        <v>63</v>
      </c>
      <c r="C13" s="52">
        <v>149</v>
      </c>
      <c r="D13" s="52">
        <v>252</v>
      </c>
      <c r="E13" s="40">
        <v>496</v>
      </c>
      <c r="G13" t="s">
        <v>69</v>
      </c>
    </row>
    <row r="14" spans="1:13">
      <c r="B14" s="46" t="s">
        <v>64</v>
      </c>
      <c r="C14" s="16">
        <v>99</v>
      </c>
      <c r="D14" s="16">
        <v>260</v>
      </c>
      <c r="E14" s="42">
        <v>496</v>
      </c>
      <c r="G14" t="s">
        <v>70</v>
      </c>
    </row>
    <row r="15" spans="1:13">
      <c r="B15" s="46" t="s">
        <v>65</v>
      </c>
      <c r="C15" s="16">
        <v>152</v>
      </c>
      <c r="D15" s="16">
        <v>271</v>
      </c>
      <c r="E15" s="42">
        <v>496</v>
      </c>
    </row>
    <row r="16" spans="1:13">
      <c r="B16" s="49" t="s">
        <v>66</v>
      </c>
      <c r="C16" s="53">
        <v>151</v>
      </c>
      <c r="D16" s="53">
        <v>269</v>
      </c>
      <c r="E16" s="44">
        <v>460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topLeftCell="A10" workbookViewId="0">
      <selection activeCell="F14" sqref="F14"/>
    </sheetView>
  </sheetViews>
  <sheetFormatPr baseColWidth="10" defaultRowHeight="15"/>
  <cols>
    <col min="1" max="1" width="4" customWidth="1"/>
    <col min="2" max="2" width="14.140625" style="5" customWidth="1"/>
    <col min="3" max="3" width="6.85546875" style="5" customWidth="1"/>
    <col min="4" max="4" width="6.42578125" style="5" customWidth="1"/>
    <col min="5" max="5" width="5.28515625" style="5" customWidth="1"/>
    <col min="6" max="6" width="8" customWidth="1"/>
    <col min="7" max="7" width="7.7109375" style="5" customWidth="1"/>
    <col min="8" max="8" width="8.28515625" style="5" customWidth="1"/>
    <col min="9" max="9" width="6.140625" customWidth="1"/>
    <col min="10" max="10" width="5.42578125" customWidth="1"/>
    <col min="12" max="12" width="19.7109375" customWidth="1"/>
    <col min="14" max="14" width="8.85546875" customWidth="1"/>
    <col min="15" max="15" width="7.5703125" customWidth="1"/>
    <col min="16" max="16" width="10.140625" customWidth="1"/>
    <col min="18" max="18" width="4.5703125" customWidth="1"/>
    <col min="19" max="19" width="6.42578125" customWidth="1"/>
    <col min="20" max="20" width="14.85546875" customWidth="1"/>
    <col min="21" max="21" width="11.85546875" customWidth="1"/>
    <col min="23" max="23" width="7.140625" customWidth="1"/>
    <col min="24" max="24" width="6.85546875" customWidth="1"/>
  </cols>
  <sheetData>
    <row r="1" spans="1:24" ht="18.75">
      <c r="A1" s="66" t="s">
        <v>88</v>
      </c>
      <c r="J1" s="66" t="s">
        <v>93</v>
      </c>
      <c r="R1" s="17" t="s">
        <v>124</v>
      </c>
    </row>
    <row r="3" spans="1:24">
      <c r="K3" s="64" t="s">
        <v>94</v>
      </c>
      <c r="L3" s="6" t="s">
        <v>95</v>
      </c>
      <c r="M3" s="6" t="s">
        <v>84</v>
      </c>
      <c r="N3" s="6" t="s">
        <v>19</v>
      </c>
      <c r="O3" s="6" t="s">
        <v>7</v>
      </c>
      <c r="P3" s="6" t="s">
        <v>96</v>
      </c>
      <c r="S3" s="64" t="s">
        <v>94</v>
      </c>
      <c r="T3" s="6" t="s">
        <v>128</v>
      </c>
      <c r="U3" s="6" t="s">
        <v>84</v>
      </c>
      <c r="V3" s="6" t="s">
        <v>19</v>
      </c>
      <c r="W3" s="6" t="s">
        <v>7</v>
      </c>
      <c r="X3" s="6" t="s">
        <v>96</v>
      </c>
    </row>
    <row r="4" spans="1:24">
      <c r="B4" s="6" t="s">
        <v>84</v>
      </c>
      <c r="C4" s="78" t="s">
        <v>19</v>
      </c>
      <c r="D4" s="77"/>
      <c r="F4" s="4" t="s">
        <v>84</v>
      </c>
      <c r="G4" s="78" t="s">
        <v>19</v>
      </c>
      <c r="H4" s="77"/>
      <c r="J4" s="4">
        <v>0</v>
      </c>
      <c r="K4" s="6" t="s">
        <v>16</v>
      </c>
      <c r="L4" s="6" t="s">
        <v>103</v>
      </c>
      <c r="M4" s="6" t="s">
        <v>81</v>
      </c>
      <c r="N4" s="6">
        <v>0</v>
      </c>
      <c r="O4" s="6" t="s">
        <v>16</v>
      </c>
      <c r="P4" s="6">
        <v>0</v>
      </c>
      <c r="R4" s="4">
        <v>0</v>
      </c>
      <c r="S4" s="6" t="s">
        <v>16</v>
      </c>
      <c r="T4" s="6" t="s">
        <v>129</v>
      </c>
      <c r="U4" s="6" t="s">
        <v>81</v>
      </c>
      <c r="V4" s="6">
        <v>0</v>
      </c>
      <c r="W4" s="6" t="s">
        <v>16</v>
      </c>
      <c r="X4" s="6">
        <v>0</v>
      </c>
    </row>
    <row r="5" spans="1:24">
      <c r="A5" s="4" t="s">
        <v>16</v>
      </c>
      <c r="B5" s="6" t="s">
        <v>81</v>
      </c>
      <c r="C5" s="6"/>
      <c r="D5" s="6">
        <v>0</v>
      </c>
      <c r="E5" s="64" t="s">
        <v>16</v>
      </c>
      <c r="F5" s="6" t="s">
        <v>81</v>
      </c>
      <c r="G5" s="64">
        <v>0</v>
      </c>
      <c r="H5" s="64">
        <v>0</v>
      </c>
      <c r="J5" s="4">
        <v>1</v>
      </c>
      <c r="K5" s="79" t="s">
        <v>97</v>
      </c>
      <c r="L5" s="79" t="s">
        <v>104</v>
      </c>
      <c r="M5" s="79" t="s">
        <v>83</v>
      </c>
      <c r="N5" s="79">
        <v>90</v>
      </c>
      <c r="O5" s="79" t="s">
        <v>117</v>
      </c>
      <c r="P5" s="79">
        <v>-10</v>
      </c>
      <c r="R5" s="4">
        <v>1</v>
      </c>
      <c r="S5" s="9"/>
      <c r="T5" s="79" t="s">
        <v>130</v>
      </c>
      <c r="U5" s="79" t="s">
        <v>83</v>
      </c>
      <c r="V5" s="79">
        <v>90</v>
      </c>
      <c r="W5" s="79"/>
      <c r="X5" s="79"/>
    </row>
    <row r="6" spans="1:24">
      <c r="A6" s="15" t="s">
        <v>18</v>
      </c>
      <c r="B6" s="31" t="s">
        <v>82</v>
      </c>
      <c r="C6" s="64">
        <v>204</v>
      </c>
      <c r="D6" s="37">
        <v>204</v>
      </c>
      <c r="E6" s="37"/>
      <c r="F6" s="64"/>
      <c r="G6" s="64"/>
      <c r="H6" s="31"/>
      <c r="J6" s="4">
        <v>2</v>
      </c>
      <c r="K6" s="6" t="s">
        <v>18</v>
      </c>
      <c r="L6" s="6" t="s">
        <v>105</v>
      </c>
      <c r="M6" s="6" t="s">
        <v>82</v>
      </c>
      <c r="N6" s="6">
        <v>204</v>
      </c>
      <c r="O6" s="6" t="s">
        <v>18</v>
      </c>
      <c r="P6" s="6">
        <v>4</v>
      </c>
      <c r="R6" s="4">
        <v>2</v>
      </c>
      <c r="S6" s="9"/>
      <c r="T6" s="79" t="s">
        <v>131</v>
      </c>
      <c r="U6" s="79" t="s">
        <v>135</v>
      </c>
      <c r="V6" s="79">
        <v>180</v>
      </c>
      <c r="W6" s="79"/>
      <c r="X6" s="79"/>
    </row>
    <row r="7" spans="1:24">
      <c r="A7" s="63"/>
      <c r="B7" s="58"/>
      <c r="C7" s="65"/>
      <c r="D7" s="34"/>
      <c r="E7" s="34" t="s">
        <v>99</v>
      </c>
      <c r="F7" s="65" t="s">
        <v>91</v>
      </c>
      <c r="G7" s="65">
        <v>294</v>
      </c>
      <c r="H7" s="58">
        <v>294</v>
      </c>
      <c r="J7" s="4">
        <v>3</v>
      </c>
      <c r="K7" s="79" t="s">
        <v>98</v>
      </c>
      <c r="L7" s="79" t="s">
        <v>106</v>
      </c>
      <c r="M7" s="79" t="s">
        <v>112</v>
      </c>
      <c r="N7" s="79">
        <v>231</v>
      </c>
      <c r="O7" s="79" t="s">
        <v>18</v>
      </c>
      <c r="P7" s="79">
        <v>31</v>
      </c>
      <c r="R7" s="4">
        <v>3</v>
      </c>
      <c r="S7" s="9" t="s">
        <v>18</v>
      </c>
      <c r="T7" s="9" t="s">
        <v>132</v>
      </c>
      <c r="U7" s="9" t="s">
        <v>82</v>
      </c>
      <c r="V7" s="9">
        <v>204</v>
      </c>
      <c r="W7" s="9" t="s">
        <v>18</v>
      </c>
      <c r="X7" s="9">
        <v>31</v>
      </c>
    </row>
    <row r="8" spans="1:24">
      <c r="A8" s="4" t="s">
        <v>8</v>
      </c>
      <c r="B8" s="30" t="s">
        <v>82</v>
      </c>
      <c r="C8" s="37">
        <v>204</v>
      </c>
      <c r="D8" s="64">
        <v>408</v>
      </c>
      <c r="E8" s="58" t="s">
        <v>8</v>
      </c>
      <c r="F8" s="6" t="s">
        <v>92</v>
      </c>
      <c r="G8" s="65">
        <v>114</v>
      </c>
      <c r="H8" s="65">
        <v>408</v>
      </c>
      <c r="J8" s="4">
        <v>4</v>
      </c>
      <c r="K8" s="6" t="s">
        <v>99</v>
      </c>
      <c r="L8" s="6" t="s">
        <v>107</v>
      </c>
      <c r="M8" s="6" t="s">
        <v>91</v>
      </c>
      <c r="N8" s="6">
        <v>294</v>
      </c>
      <c r="O8" s="6" t="s">
        <v>8</v>
      </c>
      <c r="P8" s="6">
        <v>-6</v>
      </c>
      <c r="R8" s="4">
        <v>4</v>
      </c>
      <c r="S8" s="6" t="s">
        <v>99</v>
      </c>
      <c r="T8" s="6" t="s">
        <v>133</v>
      </c>
      <c r="U8" s="6" t="s">
        <v>91</v>
      </c>
      <c r="V8" s="6">
        <v>294</v>
      </c>
      <c r="W8" s="6" t="s">
        <v>8</v>
      </c>
      <c r="X8" s="6">
        <v>-6</v>
      </c>
    </row>
    <row r="9" spans="1:24">
      <c r="A9" s="63" t="s">
        <v>102</v>
      </c>
      <c r="B9" s="74" t="s">
        <v>83</v>
      </c>
      <c r="C9" s="74">
        <v>90</v>
      </c>
      <c r="D9" s="65">
        <v>498</v>
      </c>
      <c r="E9" s="6" t="s">
        <v>102</v>
      </c>
      <c r="F9" s="6" t="s">
        <v>83</v>
      </c>
      <c r="G9" s="6">
        <v>90</v>
      </c>
      <c r="H9" s="6">
        <v>498</v>
      </c>
      <c r="J9" s="4">
        <v>5</v>
      </c>
      <c r="K9" s="79" t="s">
        <v>100</v>
      </c>
      <c r="L9" s="79" t="s">
        <v>108</v>
      </c>
      <c r="M9" s="79" t="s">
        <v>113</v>
      </c>
      <c r="N9" s="79">
        <v>303</v>
      </c>
      <c r="O9" s="79" t="s">
        <v>8</v>
      </c>
      <c r="P9" s="79">
        <v>3</v>
      </c>
      <c r="R9" s="4">
        <v>5</v>
      </c>
      <c r="S9" s="9"/>
      <c r="T9" s="79" t="s">
        <v>136</v>
      </c>
      <c r="U9" s="79" t="s">
        <v>138</v>
      </c>
      <c r="V9" s="79">
        <v>384</v>
      </c>
      <c r="W9" s="79"/>
      <c r="X9" s="79"/>
    </row>
    <row r="10" spans="1:24">
      <c r="B10" s="76" t="s">
        <v>125</v>
      </c>
      <c r="C10" s="77"/>
      <c r="D10" s="6" t="s">
        <v>126</v>
      </c>
      <c r="F10" s="67" t="s">
        <v>125</v>
      </c>
      <c r="G10" s="77"/>
      <c r="H10" s="6" t="s">
        <v>126</v>
      </c>
      <c r="J10" s="4">
        <v>6</v>
      </c>
      <c r="K10" s="79" t="s">
        <v>101</v>
      </c>
      <c r="L10" s="79" t="s">
        <v>109</v>
      </c>
      <c r="M10" s="79" t="s">
        <v>114</v>
      </c>
      <c r="N10" s="79">
        <v>354</v>
      </c>
      <c r="O10" s="79" t="s">
        <v>9</v>
      </c>
      <c r="P10" s="79">
        <v>-46</v>
      </c>
      <c r="R10" s="4">
        <v>6</v>
      </c>
      <c r="S10" s="6" t="s">
        <v>8</v>
      </c>
      <c r="T10" s="9" t="s">
        <v>137</v>
      </c>
      <c r="U10" s="6" t="s">
        <v>115</v>
      </c>
      <c r="V10" s="6">
        <v>408</v>
      </c>
      <c r="W10" s="6" t="s">
        <v>9</v>
      </c>
      <c r="X10" s="6">
        <v>8</v>
      </c>
    </row>
    <row r="11" spans="1:24">
      <c r="J11" s="4">
        <v>7</v>
      </c>
      <c r="K11" s="6" t="s">
        <v>8</v>
      </c>
      <c r="L11" s="6" t="s">
        <v>110</v>
      </c>
      <c r="M11" s="6" t="s">
        <v>115</v>
      </c>
      <c r="N11" s="6">
        <v>408</v>
      </c>
      <c r="O11" s="6" t="s">
        <v>9</v>
      </c>
      <c r="P11" s="6">
        <v>8</v>
      </c>
      <c r="R11" s="4">
        <v>7</v>
      </c>
      <c r="S11" s="6" t="s">
        <v>102</v>
      </c>
      <c r="T11" s="6" t="s">
        <v>134</v>
      </c>
      <c r="U11" s="6" t="s">
        <v>116</v>
      </c>
      <c r="V11" s="6">
        <v>498</v>
      </c>
      <c r="W11" s="6" t="s">
        <v>102</v>
      </c>
      <c r="X11" s="6">
        <v>-2</v>
      </c>
    </row>
    <row r="12" spans="1:24">
      <c r="F12" s="60" t="s">
        <v>158</v>
      </c>
      <c r="J12" s="4">
        <v>8</v>
      </c>
      <c r="K12" s="6" t="s">
        <v>102</v>
      </c>
      <c r="L12" s="6" t="s">
        <v>111</v>
      </c>
      <c r="M12" s="6" t="s">
        <v>116</v>
      </c>
      <c r="N12" s="6">
        <v>498</v>
      </c>
      <c r="O12" s="6" t="s">
        <v>102</v>
      </c>
      <c r="P12" s="6">
        <v>-2</v>
      </c>
      <c r="U12" s="67" t="s">
        <v>118</v>
      </c>
      <c r="V12" s="68"/>
      <c r="W12" s="68"/>
      <c r="X12" s="62"/>
    </row>
    <row r="13" spans="1:24">
      <c r="F13" s="60" t="s">
        <v>159</v>
      </c>
      <c r="M13" s="67" t="s">
        <v>118</v>
      </c>
      <c r="N13" s="68"/>
      <c r="O13" s="68"/>
      <c r="P13" s="62"/>
      <c r="U13" s="16"/>
      <c r="V13" s="16"/>
      <c r="W13" s="16"/>
      <c r="X13" s="16"/>
    </row>
    <row r="14" spans="1:24">
      <c r="B14" s="5" t="s">
        <v>90</v>
      </c>
      <c r="T14" s="73" t="s">
        <v>139</v>
      </c>
    </row>
    <row r="15" spans="1:24">
      <c r="L15" s="71" t="s">
        <v>123</v>
      </c>
    </row>
    <row r="16" spans="1:24">
      <c r="B16" s="95" t="s">
        <v>127</v>
      </c>
      <c r="L16" s="69" t="s">
        <v>119</v>
      </c>
      <c r="M16" s="9" t="s">
        <v>16</v>
      </c>
      <c r="N16" s="9">
        <v>0</v>
      </c>
      <c r="O16" s="9" t="s">
        <v>16</v>
      </c>
      <c r="P16" s="9">
        <v>0</v>
      </c>
    </row>
    <row r="17" spans="12:16">
      <c r="L17" s="70"/>
      <c r="M17" s="9" t="s">
        <v>18</v>
      </c>
      <c r="N17" s="9">
        <v>204</v>
      </c>
      <c r="O17" s="9" t="s">
        <v>18</v>
      </c>
      <c r="P17" s="9">
        <v>4</v>
      </c>
    </row>
    <row r="18" spans="12:16">
      <c r="L18" s="70"/>
      <c r="M18" s="9" t="s">
        <v>8</v>
      </c>
      <c r="N18" s="9">
        <v>408</v>
      </c>
      <c r="O18" s="9" t="s">
        <v>9</v>
      </c>
      <c r="P18" s="9">
        <v>8</v>
      </c>
    </row>
    <row r="19" spans="12:16">
      <c r="L19" s="70"/>
      <c r="M19" s="9" t="s">
        <v>102</v>
      </c>
      <c r="N19" s="9">
        <v>498</v>
      </c>
      <c r="O19" s="9" t="s">
        <v>102</v>
      </c>
      <c r="P19" s="9">
        <v>-2</v>
      </c>
    </row>
    <row r="20" spans="12:16">
      <c r="L20" s="70"/>
    </row>
    <row r="21" spans="12:16">
      <c r="L21" s="70" t="s">
        <v>120</v>
      </c>
      <c r="M21" s="9" t="s">
        <v>16</v>
      </c>
      <c r="N21" s="9">
        <v>0</v>
      </c>
      <c r="O21" s="9" t="s">
        <v>16</v>
      </c>
      <c r="P21" s="9">
        <v>0</v>
      </c>
    </row>
    <row r="22" spans="12:16">
      <c r="L22" s="70"/>
      <c r="M22" s="9" t="s">
        <v>18</v>
      </c>
      <c r="N22" s="9">
        <v>204</v>
      </c>
      <c r="O22" s="9" t="s">
        <v>18</v>
      </c>
      <c r="P22" s="9">
        <v>4</v>
      </c>
    </row>
    <row r="23" spans="12:16">
      <c r="L23" s="70"/>
      <c r="M23" s="79" t="s">
        <v>101</v>
      </c>
      <c r="N23" s="79">
        <v>354</v>
      </c>
      <c r="O23" s="79" t="s">
        <v>9</v>
      </c>
      <c r="P23" s="79">
        <v>-46</v>
      </c>
    </row>
    <row r="24" spans="12:16">
      <c r="L24" s="70"/>
      <c r="M24" s="9" t="s">
        <v>102</v>
      </c>
      <c r="N24" s="9">
        <v>498</v>
      </c>
      <c r="O24" s="9" t="s">
        <v>102</v>
      </c>
      <c r="P24" s="9">
        <v>-2</v>
      </c>
    </row>
    <row r="25" spans="12:16">
      <c r="L25" s="70"/>
    </row>
    <row r="26" spans="12:16">
      <c r="L26" s="70" t="s">
        <v>121</v>
      </c>
      <c r="M26" s="9" t="s">
        <v>16</v>
      </c>
      <c r="N26" s="9">
        <v>0</v>
      </c>
      <c r="O26" s="9" t="s">
        <v>16</v>
      </c>
      <c r="P26" s="9">
        <v>0</v>
      </c>
    </row>
    <row r="27" spans="12:16">
      <c r="L27" s="70"/>
      <c r="M27" s="79" t="s">
        <v>98</v>
      </c>
      <c r="N27" s="79">
        <v>231</v>
      </c>
      <c r="O27" s="79" t="s">
        <v>18</v>
      </c>
      <c r="P27" s="79">
        <v>31</v>
      </c>
    </row>
    <row r="28" spans="12:16">
      <c r="L28" s="70"/>
      <c r="M28" s="9" t="s">
        <v>8</v>
      </c>
      <c r="N28" s="9">
        <v>408</v>
      </c>
      <c r="O28" s="9" t="s">
        <v>9</v>
      </c>
      <c r="P28" s="9">
        <v>8</v>
      </c>
    </row>
    <row r="29" spans="12:16">
      <c r="L29" s="70"/>
      <c r="M29" s="9" t="s">
        <v>102</v>
      </c>
      <c r="N29" s="9">
        <v>498</v>
      </c>
      <c r="O29" s="9" t="s">
        <v>102</v>
      </c>
      <c r="P29" s="9">
        <v>-2</v>
      </c>
    </row>
    <row r="30" spans="12:16">
      <c r="L30" s="70"/>
    </row>
    <row r="31" spans="12:16">
      <c r="L31" s="70" t="s">
        <v>122</v>
      </c>
      <c r="M31" s="9" t="s">
        <v>16</v>
      </c>
      <c r="N31" s="9">
        <v>0</v>
      </c>
      <c r="O31" s="9" t="s">
        <v>16</v>
      </c>
      <c r="P31" s="9">
        <v>0</v>
      </c>
    </row>
    <row r="32" spans="12:16">
      <c r="M32" s="79" t="s">
        <v>100</v>
      </c>
      <c r="N32" s="79">
        <v>303</v>
      </c>
      <c r="O32" s="79" t="s">
        <v>8</v>
      </c>
      <c r="P32" s="79">
        <v>3</v>
      </c>
    </row>
    <row r="33" spans="13:16">
      <c r="M33" s="9" t="s">
        <v>8</v>
      </c>
      <c r="N33" s="9">
        <v>408</v>
      </c>
      <c r="O33" s="9" t="s">
        <v>9</v>
      </c>
      <c r="P33" s="9">
        <v>8</v>
      </c>
    </row>
    <row r="34" spans="13:16">
      <c r="M34" s="9" t="s">
        <v>102</v>
      </c>
      <c r="N34" s="9">
        <v>498</v>
      </c>
      <c r="O34" s="9" t="s">
        <v>102</v>
      </c>
      <c r="P34" s="9">
        <v>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Berechnung</vt:lpstr>
      <vt:lpstr>Türkei-Ezgi</vt:lpstr>
      <vt:lpstr>Baglama</vt:lpstr>
      <vt:lpstr>dere geliyor</vt:lpstr>
      <vt:lpstr>BenimGözüm</vt:lpstr>
      <vt:lpstr>Arabisch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Wolfgang Martin Stroh</cp:lastModifiedBy>
  <dcterms:created xsi:type="dcterms:W3CDTF">2021-01-12T12:30:26Z</dcterms:created>
  <dcterms:modified xsi:type="dcterms:W3CDTF">2021-04-27T16:15:33Z</dcterms:modified>
</cp:coreProperties>
</file>