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jpeg" ContentType="image/jpeg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00" windowHeight="11745" firstSheet="3" activeTab="8"/>
  </bookViews>
  <sheets>
    <sheet name="allgemein" sheetId="4" r:id="rId1"/>
    <sheet name="amadinda1" sheetId="5" r:id="rId2"/>
    <sheet name="amadinda2" sheetId="6" r:id="rId3"/>
    <sheet name="amadinda3" sheetId="8" r:id="rId4"/>
    <sheet name="amadidan12" sheetId="7" r:id="rId5"/>
    <sheet name="Ballaphon" sheetId="10" r:id="rId6"/>
    <sheet name="Mbum" sheetId="11" r:id="rId7"/>
    <sheet name="Mbira" sheetId="9" r:id="rId8"/>
    <sheet name="Mbira-Video" sheetId="12" r:id="rId9"/>
  </sheets>
  <calcPr calcId="125725"/>
</workbook>
</file>

<file path=xl/calcChain.xml><?xml version="1.0" encoding="utf-8"?>
<calcChain xmlns="http://schemas.openxmlformats.org/spreadsheetml/2006/main">
  <c r="H16" i="12"/>
  <c r="H15"/>
  <c r="H14"/>
  <c r="H13"/>
  <c r="K6" i="4"/>
  <c r="G13" i="12"/>
  <c r="G15"/>
  <c r="G16"/>
  <c r="G14"/>
  <c r="D13"/>
  <c r="F16"/>
  <c r="D16"/>
  <c r="F15"/>
  <c r="D15"/>
  <c r="F14"/>
  <c r="D14"/>
  <c r="F13"/>
  <c r="F12"/>
  <c r="F5"/>
  <c r="F6"/>
  <c r="F7"/>
  <c r="F8"/>
  <c r="F9"/>
  <c r="D5"/>
  <c r="D6"/>
  <c r="D7"/>
  <c r="D8"/>
  <c r="F4"/>
  <c r="D9"/>
  <c r="R7" i="9"/>
  <c r="R8"/>
  <c r="R9"/>
  <c r="R10"/>
  <c r="R11"/>
  <c r="R12"/>
  <c r="R14"/>
  <c r="O8"/>
  <c r="O9"/>
  <c r="O10"/>
  <c r="O11"/>
  <c r="O12"/>
  <c r="O14"/>
  <c r="R15"/>
  <c r="R16"/>
  <c r="R17"/>
  <c r="R18"/>
  <c r="R19"/>
  <c r="R20"/>
  <c r="R21"/>
  <c r="R22"/>
  <c r="R23"/>
  <c r="R24"/>
  <c r="R25"/>
  <c r="R26"/>
  <c r="R27"/>
  <c r="R28"/>
  <c r="R13"/>
  <c r="O16"/>
  <c r="O18"/>
  <c r="O19"/>
  <c r="O21"/>
  <c r="O15"/>
  <c r="O20"/>
  <c r="O22"/>
  <c r="O23"/>
  <c r="O24"/>
  <c r="O25"/>
  <c r="O26"/>
  <c r="O27"/>
  <c r="O28"/>
  <c r="O17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8"/>
  <c r="E14"/>
  <c r="E15"/>
  <c r="E16"/>
  <c r="E17"/>
  <c r="E18"/>
  <c r="E19"/>
  <c r="E20"/>
  <c r="E21"/>
  <c r="E22"/>
  <c r="E23"/>
  <c r="E24"/>
  <c r="E25"/>
  <c r="E26"/>
  <c r="E27"/>
  <c r="E28"/>
  <c r="E9"/>
  <c r="E10"/>
  <c r="E11"/>
  <c r="E12"/>
  <c r="E13"/>
  <c r="E8"/>
  <c r="AD8" i="7"/>
  <c r="AD9"/>
  <c r="AD10"/>
  <c r="AD11"/>
  <c r="AD12"/>
  <c r="AD13"/>
  <c r="AD14"/>
  <c r="AD15"/>
  <c r="AD16"/>
  <c r="AD17"/>
  <c r="AD18"/>
  <c r="AC10"/>
  <c r="AC11"/>
  <c r="AC12"/>
  <c r="AC13"/>
  <c r="AC14"/>
  <c r="AC15"/>
  <c r="AC16"/>
  <c r="AC17"/>
  <c r="AB7"/>
  <c r="AB8"/>
  <c r="AB9"/>
  <c r="AB10"/>
  <c r="AB11"/>
  <c r="AB12"/>
  <c r="AB13"/>
  <c r="AB14"/>
  <c r="AB15"/>
  <c r="AB16"/>
  <c r="AB6"/>
  <c r="Y17"/>
  <c r="I32"/>
  <c r="I33"/>
  <c r="I34"/>
  <c r="I35"/>
  <c r="I36"/>
  <c r="I37"/>
  <c r="I38"/>
  <c r="I39"/>
  <c r="I40"/>
  <c r="I31"/>
  <c r="T18"/>
  <c r="U18" s="1"/>
  <c r="S18"/>
  <c r="T17"/>
  <c r="U17" s="1"/>
  <c r="S17"/>
  <c r="U16"/>
  <c r="S16"/>
  <c r="U15"/>
  <c r="S15"/>
  <c r="U14"/>
  <c r="S14"/>
  <c r="U13"/>
  <c r="S13"/>
  <c r="U12"/>
  <c r="S12"/>
  <c r="T11"/>
  <c r="U11" s="1"/>
  <c r="S11"/>
  <c r="U10"/>
  <c r="T10"/>
  <c r="S10"/>
  <c r="U9"/>
  <c r="S9"/>
  <c r="T8"/>
  <c r="U8" s="1"/>
  <c r="S8"/>
  <c r="U7"/>
  <c r="T7"/>
  <c r="F19" i="8"/>
  <c r="E19"/>
  <c r="D10"/>
  <c r="D11"/>
  <c r="D12"/>
  <c r="D13"/>
  <c r="D14"/>
  <c r="D15"/>
  <c r="D16"/>
  <c r="D17"/>
  <c r="D18"/>
  <c r="D19"/>
  <c r="F17"/>
  <c r="F10"/>
  <c r="F11"/>
  <c r="F13"/>
  <c r="F15"/>
  <c r="F16"/>
  <c r="F18"/>
  <c r="F8"/>
  <c r="E18"/>
  <c r="E11"/>
  <c r="E8"/>
  <c r="D9"/>
  <c r="O10" i="7"/>
  <c r="O11"/>
  <c r="O13"/>
  <c r="O14"/>
  <c r="O15"/>
  <c r="O16"/>
  <c r="O9"/>
  <c r="N10"/>
  <c r="N11"/>
  <c r="N12"/>
  <c r="N13"/>
  <c r="N14"/>
  <c r="N15"/>
  <c r="N16"/>
  <c r="N9"/>
  <c r="M11"/>
  <c r="M10"/>
  <c r="K11"/>
  <c r="K12"/>
  <c r="K13"/>
  <c r="K14"/>
  <c r="K15"/>
  <c r="K16"/>
  <c r="K10"/>
  <c r="J10"/>
  <c r="J11"/>
  <c r="J12"/>
  <c r="J13"/>
  <c r="J14"/>
  <c r="J15"/>
  <c r="J16"/>
  <c r="J9"/>
  <c r="I8" i="6"/>
  <c r="I9"/>
  <c r="I10"/>
  <c r="I11"/>
  <c r="I12"/>
  <c r="I13"/>
  <c r="I14"/>
  <c r="I7"/>
  <c r="H9"/>
  <c r="H10" s="1"/>
  <c r="H11" s="1"/>
  <c r="H12" s="1"/>
  <c r="H13" s="1"/>
  <c r="H14" s="1"/>
  <c r="H8"/>
  <c r="G8"/>
  <c r="G9"/>
  <c r="G10"/>
  <c r="G11"/>
  <c r="G12"/>
  <c r="G13"/>
  <c r="G14"/>
  <c r="G7"/>
  <c r="F14"/>
  <c r="D9"/>
  <c r="D10"/>
  <c r="D11"/>
  <c r="D12"/>
  <c r="D13"/>
  <c r="D14"/>
  <c r="D8"/>
  <c r="C13"/>
  <c r="G15" i="5"/>
  <c r="G14" s="1"/>
  <c r="G13" s="1"/>
  <c r="G12" s="1"/>
  <c r="G11" s="1"/>
  <c r="G10" s="1"/>
  <c r="G9" s="1"/>
  <c r="G8" s="1"/>
  <c r="G7" s="1"/>
  <c r="G16"/>
  <c r="I16" s="1"/>
  <c r="G18"/>
  <c r="I18" s="1"/>
  <c r="H17"/>
  <c r="I17"/>
  <c r="K8" i="4"/>
  <c r="D13" i="5"/>
  <c r="F13" s="1"/>
  <c r="F9"/>
  <c r="F10"/>
  <c r="F14"/>
  <c r="F15"/>
  <c r="F16"/>
  <c r="F17"/>
  <c r="F18"/>
  <c r="F7"/>
  <c r="D7"/>
  <c r="D9"/>
  <c r="D10"/>
  <c r="F11"/>
  <c r="D12"/>
  <c r="F12" s="1"/>
  <c r="C9"/>
  <c r="C10"/>
  <c r="C11"/>
  <c r="C12"/>
  <c r="C13"/>
  <c r="C14"/>
  <c r="C15"/>
  <c r="C16"/>
  <c r="C17"/>
  <c r="C18"/>
  <c r="C8"/>
  <c r="E12" i="8" l="1"/>
  <c r="F12" s="1"/>
  <c r="H18" i="5"/>
  <c r="H16"/>
  <c r="D8"/>
  <c r="F8" s="1"/>
  <c r="K7" i="4"/>
  <c r="G8"/>
  <c r="G9"/>
  <c r="O15"/>
  <c r="N15"/>
  <c r="N14"/>
  <c r="O14" s="1"/>
  <c r="O13"/>
  <c r="N13"/>
  <c r="N12"/>
  <c r="O12" s="1"/>
  <c r="O11"/>
  <c r="N11"/>
  <c r="N10"/>
  <c r="O10" s="1"/>
  <c r="O9"/>
  <c r="N9"/>
  <c r="N8"/>
  <c r="O8" s="1"/>
  <c r="O7"/>
  <c r="N7"/>
  <c r="G7"/>
  <c r="O6"/>
  <c r="N6"/>
  <c r="G6"/>
  <c r="B6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H15" i="5" l="1"/>
  <c r="I15"/>
  <c r="I14" l="1"/>
  <c r="H14"/>
  <c r="I13"/>
  <c r="H13"/>
  <c r="I12" l="1"/>
  <c r="H12"/>
  <c r="I11" l="1"/>
  <c r="H11"/>
  <c r="H10" l="1"/>
  <c r="I10"/>
  <c r="H9" l="1"/>
  <c r="I9"/>
  <c r="I8" l="1"/>
  <c r="H8"/>
  <c r="H7" l="1"/>
  <c r="I7"/>
  <c r="F9" i="8"/>
  <c r="E9"/>
  <c r="F14"/>
</calcChain>
</file>

<file path=xl/sharedStrings.xml><?xml version="1.0" encoding="utf-8"?>
<sst xmlns="http://schemas.openxmlformats.org/spreadsheetml/2006/main" count="614" uniqueCount="233">
  <si>
    <t>A3</t>
  </si>
  <si>
    <t>Hz</t>
  </si>
  <si>
    <t>A2</t>
  </si>
  <si>
    <t>A1</t>
  </si>
  <si>
    <t>A4</t>
  </si>
  <si>
    <t>A5</t>
  </si>
  <si>
    <t>A6</t>
  </si>
  <si>
    <t>Taste</t>
  </si>
  <si>
    <t>B</t>
  </si>
  <si>
    <t>H</t>
  </si>
  <si>
    <t>C#</t>
  </si>
  <si>
    <t>D</t>
  </si>
  <si>
    <t>D#</t>
  </si>
  <si>
    <t>E</t>
  </si>
  <si>
    <t>F</t>
  </si>
  <si>
    <t>F#</t>
  </si>
  <si>
    <t>G</t>
  </si>
  <si>
    <t>G#</t>
  </si>
  <si>
    <t>A</t>
  </si>
  <si>
    <t>Cent</t>
  </si>
  <si>
    <t>frqu1</t>
  </si>
  <si>
    <t>frqu2</t>
  </si>
  <si>
    <t>MSB</t>
  </si>
  <si>
    <t>LSB</t>
  </si>
  <si>
    <t>C1</t>
  </si>
  <si>
    <t>C2</t>
  </si>
  <si>
    <t>A7</t>
  </si>
  <si>
    <t>C7</t>
  </si>
  <si>
    <t>C3</t>
  </si>
  <si>
    <t>C4</t>
  </si>
  <si>
    <t>C5</t>
  </si>
  <si>
    <t>C6</t>
  </si>
  <si>
    <t>Berechnungen: Intervalle in Hz, Cent und Pitchbend</t>
  </si>
  <si>
    <t>Block 1</t>
  </si>
  <si>
    <t>Block2</t>
  </si>
  <si>
    <t>Block3</t>
  </si>
  <si>
    <t>Sie können in den beiden Kästc hen in den ersten Spalten Werte eingeben, um dann das Ergebnis zu erhalten</t>
  </si>
  <si>
    <t>Auch bei der temperierten Skala können Sie eine andere Grundfrequenz (für den Kammerton 55 Hz) eingeben, um eine modifizierte Liste zu erhalten</t>
  </si>
  <si>
    <t>Erläuterung zu MSB und LSB auf dem Blatt "MIDI".</t>
  </si>
  <si>
    <t>Die Werte der temperierten Frequenzen sind genauer als angezeigt. Bei Kopieren erhalten sie 7 Stellen hinter dme Komma.</t>
  </si>
  <si>
    <t>(Kopierhinweis: Beim Einfügen eines kopierten Wertes stets "Einfügen/Werte einfügen" wählen!)</t>
  </si>
  <si>
    <r>
      <rPr>
        <b/>
        <sz val="11"/>
        <color theme="1"/>
        <rFont val="Calibri"/>
        <family val="2"/>
        <scheme val="minor"/>
      </rPr>
      <t>LINKS</t>
    </r>
    <r>
      <rPr>
        <sz val="11"/>
        <color theme="1"/>
        <rFont val="Calibri"/>
        <family val="2"/>
        <scheme val="minor"/>
      </rPr>
      <t>: die Temperierte Skala mit den "Normbezeichnungen" der MIDI-Welt.</t>
    </r>
  </si>
  <si>
    <t>nach Cent aufgelöst ergibt: Cent = 1200*LN(Intervall)/LN(2)</t>
  </si>
  <si>
    <t>frqu1/frqu2 = Intervall = POTENZ(2;Cent/1200) = 1200te Wurzel aus 2 hoch Cent</t>
  </si>
  <si>
    <t>beide Seiten logarithmieren: LN(Intervall) = (Cent/1200)*LN(Intervall)</t>
  </si>
  <si>
    <r>
      <rPr>
        <b/>
        <sz val="11"/>
        <color theme="1"/>
        <rFont val="Calibri"/>
        <family val="2"/>
        <scheme val="minor"/>
      </rPr>
      <t>Herleitung</t>
    </r>
    <r>
      <rPr>
        <sz val="11"/>
        <color theme="1"/>
        <rFont val="Calibri"/>
        <family val="2"/>
        <scheme val="minor"/>
      </rPr>
      <t xml:space="preserve"> der Formel für Cent in G6:</t>
    </r>
  </si>
  <si>
    <t>Xylophon amadinda aus Uganda</t>
  </si>
  <si>
    <t>5t</t>
  </si>
  <si>
    <t>4t</t>
  </si>
  <si>
    <t>3t</t>
  </si>
  <si>
    <t>2t</t>
  </si>
  <si>
    <t>1t</t>
  </si>
  <si>
    <t>5m</t>
  </si>
  <si>
    <t>4m</t>
  </si>
  <si>
    <t>3m</t>
  </si>
  <si>
    <t>2m</t>
  </si>
  <si>
    <t>1m</t>
  </si>
  <si>
    <t>2h</t>
  </si>
  <si>
    <t>1h</t>
  </si>
  <si>
    <t>c#³</t>
  </si>
  <si>
    <t>b²</t>
  </si>
  <si>
    <t>g#²</t>
  </si>
  <si>
    <t>f#²</t>
  </si>
  <si>
    <t>d#²</t>
  </si>
  <si>
    <t>c#²</t>
  </si>
  <si>
    <t>b'</t>
  </si>
  <si>
    <t>g#'</t>
  </si>
  <si>
    <t>f#'</t>
  </si>
  <si>
    <t>d#'</t>
  </si>
  <si>
    <t>c#'</t>
  </si>
  <si>
    <t>h</t>
  </si>
  <si>
    <t>Nr.</t>
  </si>
  <si>
    <t>Intervall</t>
  </si>
  <si>
    <t>temp.</t>
  </si>
  <si>
    <t>Centabw.</t>
  </si>
  <si>
    <t>Für den Maqam-Player</t>
  </si>
  <si>
    <t>(schwarze Tasten)</t>
  </si>
  <si>
    <t>h'</t>
  </si>
  <si>
    <t>h²</t>
  </si>
  <si>
    <t>e²</t>
  </si>
  <si>
    <t>orig.</t>
  </si>
  <si>
    <t>äquid.</t>
  </si>
  <si>
    <t>Aufnahmen von Ulrich Wegner (publiziert 1990)</t>
  </si>
  <si>
    <t>b</t>
  </si>
  <si>
    <t>äqui</t>
  </si>
  <si>
    <t>äqui/orig</t>
  </si>
  <si>
    <t>Xylophon aus Uaganda u.a.</t>
  </si>
  <si>
    <t>Quelle: Video https://www.youtube.com/watch?v=hBCUwAU-9jM</t>
  </si>
  <si>
    <t>c"</t>
  </si>
  <si>
    <t>a'</t>
  </si>
  <si>
    <t>g'</t>
  </si>
  <si>
    <t>d'</t>
  </si>
  <si>
    <t>c'</t>
  </si>
  <si>
    <t>a</t>
  </si>
  <si>
    <t>g</t>
  </si>
  <si>
    <t>e'</t>
  </si>
  <si>
    <t>Messung bei Nr.7:</t>
  </si>
  <si>
    <t>gesamt</t>
  </si>
  <si>
    <t>tiefster</t>
  </si>
  <si>
    <t>2. höchster</t>
  </si>
  <si>
    <t>spätere</t>
  </si>
  <si>
    <t>210 (gis)</t>
  </si>
  <si>
    <t>2112 c</t>
  </si>
  <si>
    <t>1328 e</t>
  </si>
  <si>
    <t>444 a</t>
  </si>
  <si>
    <t>215 a</t>
  </si>
  <si>
    <t>442 a</t>
  </si>
  <si>
    <t>1316 e</t>
  </si>
  <si>
    <t>2125 c</t>
  </si>
  <si>
    <t>anfang</t>
  </si>
  <si>
    <t>209 gis</t>
  </si>
  <si>
    <t>1329 e</t>
  </si>
  <si>
    <t>2097 c</t>
  </si>
  <si>
    <t>mitte2</t>
  </si>
  <si>
    <t>204 gis</t>
  </si>
  <si>
    <t>440 a</t>
  </si>
  <si>
    <t>1260 dis</t>
  </si>
  <si>
    <t>2118 c</t>
  </si>
  <si>
    <t>auskling1</t>
  </si>
  <si>
    <t>187 fis</t>
  </si>
  <si>
    <t>445 a</t>
  </si>
  <si>
    <t>1330 e</t>
  </si>
  <si>
    <t>2117 c</t>
  </si>
  <si>
    <t>auskling2</t>
  </si>
  <si>
    <t>mitte1</t>
  </si>
  <si>
    <t>193 g</t>
  </si>
  <si>
    <t>1253 dis</t>
  </si>
  <si>
    <t>2114 c</t>
  </si>
  <si>
    <t>e</t>
  </si>
  <si>
    <t>Messung</t>
  </si>
  <si>
    <t>Äqui</t>
  </si>
  <si>
    <t>orig/äqui</t>
  </si>
  <si>
    <t>c#</t>
  </si>
  <si>
    <t>d#</t>
  </si>
  <si>
    <t>f#</t>
  </si>
  <si>
    <t>g#</t>
  </si>
  <si>
    <t>temp</t>
  </si>
  <si>
    <t xml:space="preserve">Um die Stimmungen vergleichen zu können, muss eine transponiert werden. </t>
  </si>
  <si>
    <t>Ich habe dazu die 2. Stimmung gewählt und nach einigem Probieren als Vergleichston das tiefe h genommen.</t>
  </si>
  <si>
    <t>Als ich das hohe e genommen habe, waren die Werte sehr schlecht, d.h. dieser Ton fällt aus der Reihe,</t>
  </si>
  <si>
    <t>denn jetzt stimmen de beiden amadindas gut überein!</t>
  </si>
  <si>
    <t>Unterschied</t>
  </si>
  <si>
    <t>amadinda 2</t>
  </si>
  <si>
    <t>amadinda 1</t>
  </si>
  <si>
    <t>in Promille</t>
  </si>
  <si>
    <t>aminda2</t>
  </si>
  <si>
    <t>Amadinda 3 von Olutalo</t>
  </si>
  <si>
    <t>auf der Originalaufnahme bei Wegner spielt Albert Sembeke seine amadinda, die anders gestimmt ist als amadinda 1</t>
  </si>
  <si>
    <t>es</t>
  </si>
  <si>
    <t>des</t>
  </si>
  <si>
    <t>as</t>
  </si>
  <si>
    <t>ges</t>
  </si>
  <si>
    <t>wegner-amidinda</t>
  </si>
  <si>
    <t>T</t>
  </si>
  <si>
    <t>Interv</t>
  </si>
  <si>
    <t>Bem.: as = 204 ist aus dem Maximum 408 gewonnen, während die Grundfr. 198 war.</t>
  </si>
  <si>
    <t>dasselbe ist bei ges = 180 der Fall, wo die Grundfr. 170 zeigt.</t>
  </si>
  <si>
    <t>amadinda 3</t>
  </si>
  <si>
    <t>Wegenr</t>
  </si>
  <si>
    <t>Sempeke</t>
  </si>
  <si>
    <t>wegner</t>
  </si>
  <si>
    <t>Olutalo</t>
  </si>
  <si>
    <t>Abweichung</t>
  </si>
  <si>
    <t>Promille</t>
  </si>
  <si>
    <t>amadinda1</t>
  </si>
  <si>
    <t>amadinda2</t>
  </si>
  <si>
    <t>amadinda3</t>
  </si>
  <si>
    <t>Abw. 1</t>
  </si>
  <si>
    <t>Abw. 2</t>
  </si>
  <si>
    <t>Abw. 3</t>
  </si>
  <si>
    <t>Prozent</t>
  </si>
  <si>
    <t>Messungen von Paul F. Berliner an MBIRAs</t>
  </si>
  <si>
    <t>Mbira Dza Vadzimu (aus Simbabwe) mit 3 Zungen-Reihen</t>
  </si>
  <si>
    <t>B1</t>
  </si>
  <si>
    <t>B2</t>
  </si>
  <si>
    <t>B3</t>
  </si>
  <si>
    <t>B4</t>
  </si>
  <si>
    <t>B5</t>
  </si>
  <si>
    <t>B6</t>
  </si>
  <si>
    <t>B7</t>
  </si>
  <si>
    <t>L1</t>
  </si>
  <si>
    <t>L2</t>
  </si>
  <si>
    <t>L3</t>
  </si>
  <si>
    <t>L4</t>
  </si>
  <si>
    <t>L5</t>
  </si>
  <si>
    <t>L6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</si>
  <si>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</si>
  <si>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</si>
  <si>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</si>
  <si>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</si>
  <si>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</si>
  <si>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</si>
  <si>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</si>
  <si>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</si>
  <si>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</si>
  <si>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Hz (1)</t>
  </si>
  <si>
    <t>Hz (2)</t>
  </si>
  <si>
    <t>Hz (3)</t>
  </si>
  <si>
    <t xml:space="preserve">Int (1) </t>
  </si>
  <si>
    <t>Int (2)</t>
  </si>
  <si>
    <t>Int (3)</t>
  </si>
  <si>
    <t>Int (1)</t>
  </si>
  <si>
    <t>d"</t>
  </si>
  <si>
    <t>d#"</t>
  </si>
  <si>
    <t>f"</t>
  </si>
  <si>
    <t>g"</t>
  </si>
  <si>
    <t>d#(e)</t>
  </si>
  <si>
    <t>f(e)</t>
  </si>
  <si>
    <t>G#'</t>
  </si>
  <si>
    <t>Mbum aus der Überseemuseum</t>
  </si>
  <si>
    <t>Quelle/Tonbeispiel: https://www.musik-for.uni-oldenburg.de/weltstimmung/10Afrika/Xylophone/Mbum-Bremen.mp3</t>
  </si>
  <si>
    <t>c</t>
  </si>
  <si>
    <t>gehört</t>
  </si>
  <si>
    <t>a#'</t>
  </si>
  <si>
    <t>e"</t>
  </si>
  <si>
    <t>f'</t>
  </si>
  <si>
    <t>temp1</t>
  </si>
  <si>
    <t>Wert2</t>
  </si>
  <si>
    <t>temp2</t>
  </si>
  <si>
    <t>f#"</t>
  </si>
  <si>
    <t>a"</t>
  </si>
  <si>
    <t>a#"</t>
  </si>
  <si>
    <t>d³</t>
  </si>
  <si>
    <r>
      <rPr>
        <b/>
        <sz val="12"/>
        <color theme="1"/>
        <rFont val="Calibri"/>
        <family val="2"/>
        <scheme val="minor"/>
      </rPr>
      <t>Die Mbria des Demo-Videos</t>
    </r>
    <r>
      <rPr>
        <sz val="11"/>
        <color theme="1"/>
        <rFont val="Calibri"/>
        <family val="2"/>
        <scheme val="minor"/>
      </rPr>
      <t xml:space="preserve"> https://www.youtube.com/watch?v=NEMWGKxyCFM</t>
    </r>
  </si>
  <si>
    <t>Das Instrument hat links 7 (statt sonst 6) Lamellen.</t>
  </si>
  <si>
    <t>Die Abfolge c-d-e-f ist eher temperiert ca. 170 Cent.</t>
  </si>
  <si>
    <t>Das entspricht 1200/7 = 171,43 Cent</t>
  </si>
  <si>
    <t>Bemerkung: die Melodie klingt bis auf das f' sehr "rein" - ist es aber nicht!</t>
  </si>
  <si>
    <t>beachte die Quarte: L1 - L2 = g - c = 544 Cent entspricht 3 x 171 =  514 Cent!</t>
  </si>
  <si>
    <t>7-temperiert</t>
  </si>
  <si>
    <t>Interv.</t>
  </si>
  <si>
    <t>7-temp.</t>
  </si>
  <si>
    <t>12-temp.</t>
  </si>
</sst>
</file>

<file path=xl/styles.xml><?xml version="1.0" encoding="utf-8"?>
<styleSheet xmlns="http://schemas.openxmlformats.org/spreadsheetml/2006/main">
  <numFmts count="3">
    <numFmt numFmtId="6" formatCode="#,##0\ &quot;€&quot;;[Red]\-#,##0\ &quot;€&quot;"/>
    <numFmt numFmtId="164" formatCode="0.0"/>
    <numFmt numFmtId="165" formatCode="0.0000"/>
  </numFmts>
  <fonts count="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2" fontId="0" fillId="0" borderId="0" xfId="0" applyNumberFormat="1"/>
    <xf numFmtId="0" fontId="0" fillId="2" borderId="1" xfId="0" applyFill="1" applyBorder="1"/>
    <xf numFmtId="0" fontId="0" fillId="3" borderId="1" xfId="0" applyFill="1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4" borderId="0" xfId="0" applyFill="1"/>
    <xf numFmtId="0" fontId="0" fillId="4" borderId="1" xfId="0" applyFill="1" applyBorder="1"/>
    <xf numFmtId="0" fontId="0" fillId="0" borderId="2" xfId="0" applyBorder="1"/>
    <xf numFmtId="0" fontId="0" fillId="0" borderId="0" xfId="0" applyBorder="1"/>
    <xf numFmtId="0" fontId="1" fillId="0" borderId="0" xfId="0" applyFont="1"/>
    <xf numFmtId="0" fontId="0" fillId="2" borderId="0" xfId="0" applyFill="1" applyBorder="1"/>
    <xf numFmtId="0" fontId="0" fillId="4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164" fontId="0" fillId="4" borderId="0" xfId="0" applyNumberFormat="1" applyFill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165" fontId="0" fillId="4" borderId="0" xfId="0" applyNumberFormat="1" applyFill="1" applyAlignment="1">
      <alignment horizontal="center"/>
    </xf>
    <xf numFmtId="0" fontId="0" fillId="0" borderId="3" xfId="0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3" xfId="0" applyBorder="1"/>
    <xf numFmtId="0" fontId="0" fillId="0" borderId="0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/>
    </xf>
    <xf numFmtId="0" fontId="0" fillId="0" borderId="1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0" fontId="3" fillId="0" borderId="0" xfId="0" applyFont="1" applyAlignment="1">
      <alignment horizontal="left"/>
    </xf>
    <xf numFmtId="6" fontId="0" fillId="0" borderId="1" xfId="0" applyNumberFormat="1" applyBorder="1"/>
    <xf numFmtId="2" fontId="0" fillId="0" borderId="1" xfId="0" applyNumberFormat="1" applyFill="1" applyBorder="1" applyAlignment="1">
      <alignment horizontal="center"/>
    </xf>
    <xf numFmtId="0" fontId="0" fillId="0" borderId="0" xfId="0" applyFill="1"/>
    <xf numFmtId="164" fontId="0" fillId="0" borderId="0" xfId="0" applyNumberFormat="1" applyFill="1" applyAlignment="1">
      <alignment horizontal="center"/>
    </xf>
    <xf numFmtId="0" fontId="0" fillId="0" borderId="1" xfId="0" applyFill="1" applyBorder="1"/>
    <xf numFmtId="0" fontId="0" fillId="0" borderId="0" xfId="0" applyFill="1" applyBorder="1"/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/>
    <xf numFmtId="0" fontId="2" fillId="0" borderId="0" xfId="0" applyFont="1" applyAlignment="1"/>
    <xf numFmtId="2" fontId="0" fillId="0" borderId="0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8" borderId="1" xfId="0" applyNumberFormat="1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0" fontId="3" fillId="0" borderId="0" xfId="0" applyFont="1"/>
    <xf numFmtId="164" fontId="0" fillId="0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13" xfId="0" applyBorder="1"/>
    <xf numFmtId="0" fontId="0" fillId="0" borderId="12" xfId="0" applyFill="1" applyBorder="1" applyAlignment="1">
      <alignment horizontal="left"/>
    </xf>
    <xf numFmtId="1" fontId="0" fillId="0" borderId="1" xfId="0" applyNumberForma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>
        <c:manualLayout>
          <c:layoutTarget val="inner"/>
          <c:xMode val="edge"/>
          <c:yMode val="edge"/>
          <c:x val="0.10015507436570428"/>
          <c:y val="5.1400554097404488E-2"/>
          <c:w val="0.86130468066491683"/>
          <c:h val="0.8326195683872849"/>
        </c:manualLayout>
      </c:layout>
      <c:barChart>
        <c:barDir val="col"/>
        <c:grouping val="clustered"/>
        <c:ser>
          <c:idx val="0"/>
          <c:order val="0"/>
          <c:tx>
            <c:strRef>
              <c:f>amadinda1!$B$6</c:f>
              <c:strCache>
                <c:ptCount val="1"/>
                <c:pt idx="0">
                  <c:v>orig.</c:v>
                </c:pt>
              </c:strCache>
            </c:strRef>
          </c:tx>
          <c:dLbls>
            <c:showVal val="1"/>
          </c:dLbls>
          <c:cat>
            <c:strRef>
              <c:f>amadinda1!$A$7:$A$18</c:f>
              <c:strCache>
                <c:ptCount val="12"/>
                <c:pt idx="0">
                  <c:v>2h</c:v>
                </c:pt>
                <c:pt idx="1">
                  <c:v>1h</c:v>
                </c:pt>
                <c:pt idx="2">
                  <c:v>5m</c:v>
                </c:pt>
                <c:pt idx="3">
                  <c:v>4m</c:v>
                </c:pt>
                <c:pt idx="4">
                  <c:v>3m</c:v>
                </c:pt>
                <c:pt idx="5">
                  <c:v>2m</c:v>
                </c:pt>
                <c:pt idx="6">
                  <c:v>1m</c:v>
                </c:pt>
                <c:pt idx="7">
                  <c:v>5t</c:v>
                </c:pt>
                <c:pt idx="8">
                  <c:v>4t</c:v>
                </c:pt>
                <c:pt idx="9">
                  <c:v>3t</c:v>
                </c:pt>
                <c:pt idx="10">
                  <c:v>2t</c:v>
                </c:pt>
                <c:pt idx="11">
                  <c:v>1t</c:v>
                </c:pt>
              </c:strCache>
            </c:strRef>
          </c:cat>
          <c:val>
            <c:numRef>
              <c:f>amadinda1!$B$7:$B$18</c:f>
              <c:numCache>
                <c:formatCode>General</c:formatCode>
                <c:ptCount val="12"/>
                <c:pt idx="0">
                  <c:v>1129</c:v>
                </c:pt>
                <c:pt idx="1">
                  <c:v>968</c:v>
                </c:pt>
                <c:pt idx="2">
                  <c:v>847</c:v>
                </c:pt>
                <c:pt idx="3">
                  <c:v>733</c:v>
                </c:pt>
                <c:pt idx="4">
                  <c:v>646</c:v>
                </c:pt>
                <c:pt idx="5">
                  <c:v>561</c:v>
                </c:pt>
                <c:pt idx="6">
                  <c:v>483</c:v>
                </c:pt>
                <c:pt idx="7">
                  <c:v>420</c:v>
                </c:pt>
                <c:pt idx="8">
                  <c:v>366</c:v>
                </c:pt>
                <c:pt idx="9">
                  <c:v>320</c:v>
                </c:pt>
                <c:pt idx="10">
                  <c:v>280</c:v>
                </c:pt>
                <c:pt idx="11">
                  <c:v>241</c:v>
                </c:pt>
              </c:numCache>
            </c:numRef>
          </c:val>
        </c:ser>
        <c:ser>
          <c:idx val="1"/>
          <c:order val="1"/>
          <c:tx>
            <c:strRef>
              <c:f>amadinda1!$G$5</c:f>
              <c:strCache>
                <c:ptCount val="1"/>
                <c:pt idx="0">
                  <c:v>äquid.</c:v>
                </c:pt>
              </c:strCache>
            </c:strRef>
          </c:tx>
          <c:cat>
            <c:strRef>
              <c:f>amadinda1!$A$7:$A$18</c:f>
              <c:strCache>
                <c:ptCount val="12"/>
                <c:pt idx="0">
                  <c:v>2h</c:v>
                </c:pt>
                <c:pt idx="1">
                  <c:v>1h</c:v>
                </c:pt>
                <c:pt idx="2">
                  <c:v>5m</c:v>
                </c:pt>
                <c:pt idx="3">
                  <c:v>4m</c:v>
                </c:pt>
                <c:pt idx="4">
                  <c:v>3m</c:v>
                </c:pt>
                <c:pt idx="5">
                  <c:v>2m</c:v>
                </c:pt>
                <c:pt idx="6">
                  <c:v>1m</c:v>
                </c:pt>
                <c:pt idx="7">
                  <c:v>5t</c:v>
                </c:pt>
                <c:pt idx="8">
                  <c:v>4t</c:v>
                </c:pt>
                <c:pt idx="9">
                  <c:v>3t</c:v>
                </c:pt>
                <c:pt idx="10">
                  <c:v>2t</c:v>
                </c:pt>
                <c:pt idx="11">
                  <c:v>1t</c:v>
                </c:pt>
              </c:strCache>
            </c:strRef>
          </c:cat>
          <c:val>
            <c:numRef>
              <c:f>amadinda1!$G$7:$G$18</c:f>
              <c:numCache>
                <c:formatCode>0.00</c:formatCode>
                <c:ptCount val="12"/>
                <c:pt idx="0">
                  <c:v>1120.0000000000007</c:v>
                </c:pt>
                <c:pt idx="1">
                  <c:v>975.01663089165959</c:v>
                </c:pt>
                <c:pt idx="2">
                  <c:v>848.80127724582337</c:v>
                </c:pt>
                <c:pt idx="3">
                  <c:v>738.92443003282108</c:v>
                </c:pt>
                <c:pt idx="4">
                  <c:v>643.27107879833977</c:v>
                </c:pt>
                <c:pt idx="5">
                  <c:v>560.00000000000011</c:v>
                </c:pt>
                <c:pt idx="6">
                  <c:v>487.50831544582962</c:v>
                </c:pt>
                <c:pt idx="7">
                  <c:v>424.40063862291152</c:v>
                </c:pt>
                <c:pt idx="8">
                  <c:v>369.46221501641043</c:v>
                </c:pt>
                <c:pt idx="9">
                  <c:v>321.63553939916983</c:v>
                </c:pt>
                <c:pt idx="10">
                  <c:v>280</c:v>
                </c:pt>
                <c:pt idx="11">
                  <c:v>243.75415772291473</c:v>
                </c:pt>
              </c:numCache>
            </c:numRef>
          </c:val>
        </c:ser>
        <c:axId val="126559744"/>
        <c:axId val="126561280"/>
      </c:barChart>
      <c:catAx>
        <c:axId val="126559744"/>
        <c:scaling>
          <c:orientation val="minMax"/>
        </c:scaling>
        <c:axPos val="b"/>
        <c:tickLblPos val="nextTo"/>
        <c:crossAx val="126561280"/>
        <c:crosses val="autoZero"/>
        <c:auto val="1"/>
        <c:lblAlgn val="ctr"/>
        <c:lblOffset val="100"/>
      </c:catAx>
      <c:valAx>
        <c:axId val="126561280"/>
        <c:scaling>
          <c:orientation val="minMax"/>
        </c:scaling>
        <c:axPos val="l"/>
        <c:majorGridlines/>
        <c:numFmt formatCode="General" sourceLinked="1"/>
        <c:tickLblPos val="nextTo"/>
        <c:crossAx val="126559744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400"/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1400"/>
            </a:pPr>
            <a:endParaRPr lang="de-DE"/>
          </a:p>
        </c:txPr>
      </c:legendEntry>
      <c:layout>
        <c:manualLayout>
          <c:xMode val="edge"/>
          <c:yMode val="edge"/>
          <c:x val="0.42618197725284501"/>
          <c:y val="0.15239391951006154"/>
          <c:w val="0.12158321555959352"/>
          <c:h val="0.21221274424030356"/>
        </c:manualLayout>
      </c:layout>
      <c:spPr>
        <a:solidFill>
          <a:schemeClr val="bg1"/>
        </a:solidFill>
      </c:spPr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>
        <c:manualLayout>
          <c:layoutTarget val="inner"/>
          <c:xMode val="edge"/>
          <c:yMode val="edge"/>
          <c:x val="7.0490374920143928E-2"/>
          <c:y val="5.1400554097404488E-2"/>
          <c:w val="0.87860137087180734"/>
          <c:h val="0.8326195683872849"/>
        </c:manualLayout>
      </c:layout>
      <c:lineChart>
        <c:grouping val="standard"/>
        <c:ser>
          <c:idx val="0"/>
          <c:order val="0"/>
          <c:dLbls>
            <c:dLbl>
              <c:idx val="10"/>
              <c:layout>
                <c:manualLayout>
                  <c:x val="0"/>
                  <c:y val="8.4875562720134011E-17"/>
                </c:manualLayout>
              </c:layout>
              <c:showVal val="1"/>
            </c:dLbl>
            <c:showVal val="1"/>
          </c:dLbls>
          <c:cat>
            <c:strRef>
              <c:f>amadinda1!$A$7:$A$18</c:f>
              <c:strCache>
                <c:ptCount val="12"/>
                <c:pt idx="0">
                  <c:v>2h</c:v>
                </c:pt>
                <c:pt idx="1">
                  <c:v>1h</c:v>
                </c:pt>
                <c:pt idx="2">
                  <c:v>5m</c:v>
                </c:pt>
                <c:pt idx="3">
                  <c:v>4m</c:v>
                </c:pt>
                <c:pt idx="4">
                  <c:v>3m</c:v>
                </c:pt>
                <c:pt idx="5">
                  <c:v>2m</c:v>
                </c:pt>
                <c:pt idx="6">
                  <c:v>1m</c:v>
                </c:pt>
                <c:pt idx="7">
                  <c:v>5t</c:v>
                </c:pt>
                <c:pt idx="8">
                  <c:v>4t</c:v>
                </c:pt>
                <c:pt idx="9">
                  <c:v>3t</c:v>
                </c:pt>
                <c:pt idx="10">
                  <c:v>2t</c:v>
                </c:pt>
                <c:pt idx="11">
                  <c:v>1t</c:v>
                </c:pt>
              </c:strCache>
            </c:strRef>
          </c:cat>
          <c:val>
            <c:numRef>
              <c:f>amadinda1!$B$7:$B$18</c:f>
              <c:numCache>
                <c:formatCode>General</c:formatCode>
                <c:ptCount val="12"/>
                <c:pt idx="0">
                  <c:v>1129</c:v>
                </c:pt>
                <c:pt idx="1">
                  <c:v>968</c:v>
                </c:pt>
                <c:pt idx="2">
                  <c:v>847</c:v>
                </c:pt>
                <c:pt idx="3">
                  <c:v>733</c:v>
                </c:pt>
                <c:pt idx="4">
                  <c:v>646</c:v>
                </c:pt>
                <c:pt idx="5">
                  <c:v>561</c:v>
                </c:pt>
                <c:pt idx="6">
                  <c:v>483</c:v>
                </c:pt>
                <c:pt idx="7">
                  <c:v>420</c:v>
                </c:pt>
                <c:pt idx="8">
                  <c:v>366</c:v>
                </c:pt>
                <c:pt idx="9">
                  <c:v>320</c:v>
                </c:pt>
                <c:pt idx="10">
                  <c:v>280</c:v>
                </c:pt>
                <c:pt idx="11">
                  <c:v>241</c:v>
                </c:pt>
              </c:numCache>
            </c:numRef>
          </c:val>
        </c:ser>
        <c:marker val="1"/>
        <c:axId val="126580992"/>
        <c:axId val="126590976"/>
      </c:lineChart>
      <c:catAx>
        <c:axId val="126580992"/>
        <c:scaling>
          <c:orientation val="minMax"/>
        </c:scaling>
        <c:axPos val="b"/>
        <c:tickLblPos val="nextTo"/>
        <c:crossAx val="126590976"/>
        <c:crosses val="autoZero"/>
        <c:auto val="1"/>
        <c:lblAlgn val="ctr"/>
        <c:lblOffset val="100"/>
      </c:catAx>
      <c:valAx>
        <c:axId val="126590976"/>
        <c:scaling>
          <c:logBase val="10"/>
          <c:orientation val="minMax"/>
          <c:max val="1200"/>
          <c:min val="200"/>
        </c:scaling>
        <c:axPos val="l"/>
        <c:majorGridlines/>
        <c:numFmt formatCode="General" sourceLinked="1"/>
        <c:tickLblPos val="nextTo"/>
        <c:crossAx val="126580992"/>
        <c:crosses val="autoZero"/>
        <c:crossBetween val="between"/>
      </c:valAx>
    </c:plotArea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>
        <c:manualLayout>
          <c:layoutTarget val="inner"/>
          <c:xMode val="edge"/>
          <c:yMode val="edge"/>
          <c:x val="0.11558573928258989"/>
          <c:y val="5.1400554097404488E-2"/>
          <c:w val="0.85215179352581016"/>
          <c:h val="0.89719889180519163"/>
        </c:manualLayout>
      </c:layout>
      <c:barChart>
        <c:barDir val="col"/>
        <c:grouping val="clustered"/>
        <c:ser>
          <c:idx val="0"/>
          <c:order val="0"/>
          <c:tx>
            <c:strRef>
              <c:f>amadinda1!$L$6</c:f>
              <c:strCache>
                <c:ptCount val="1"/>
                <c:pt idx="0">
                  <c:v>Centabw.</c:v>
                </c:pt>
              </c:strCache>
            </c:strRef>
          </c:tx>
          <c:cat>
            <c:strRef>
              <c:f>amadinda1!$K$7:$K$18</c:f>
              <c:strCache>
                <c:ptCount val="12"/>
                <c:pt idx="0">
                  <c:v>c#³</c:v>
                </c:pt>
                <c:pt idx="1">
                  <c:v>b²</c:v>
                </c:pt>
                <c:pt idx="2">
                  <c:v>g#²</c:v>
                </c:pt>
                <c:pt idx="3">
                  <c:v>f#²</c:v>
                </c:pt>
                <c:pt idx="4">
                  <c:v>d#²</c:v>
                </c:pt>
                <c:pt idx="5">
                  <c:v>c#²</c:v>
                </c:pt>
                <c:pt idx="6">
                  <c:v>b'</c:v>
                </c:pt>
                <c:pt idx="7">
                  <c:v>g#'</c:v>
                </c:pt>
                <c:pt idx="8">
                  <c:v>f#'</c:v>
                </c:pt>
                <c:pt idx="9">
                  <c:v>d#'</c:v>
                </c:pt>
                <c:pt idx="10">
                  <c:v>c#'</c:v>
                </c:pt>
                <c:pt idx="11">
                  <c:v>b</c:v>
                </c:pt>
              </c:strCache>
            </c:strRef>
          </c:cat>
          <c:val>
            <c:numRef>
              <c:f>amadinda1!$L$7:$L$18</c:f>
              <c:numCache>
                <c:formatCode>0.00</c:formatCode>
                <c:ptCount val="12"/>
                <c:pt idx="0">
                  <c:v>31.364068698009849</c:v>
                </c:pt>
                <c:pt idx="1">
                  <c:v>65.004228499919805</c:v>
                </c:pt>
                <c:pt idx="2">
                  <c:v>33.830134969045126</c:v>
                </c:pt>
                <c:pt idx="3">
                  <c:v>-16.42839046901905</c:v>
                </c:pt>
                <c:pt idx="4">
                  <c:v>64.836769403116733</c:v>
                </c:pt>
                <c:pt idx="5">
                  <c:v>20.596696500960356</c:v>
                </c:pt>
                <c:pt idx="6">
                  <c:v>61.423598373333952</c:v>
                </c:pt>
                <c:pt idx="7">
                  <c:v>19.462964969753695</c:v>
                </c:pt>
                <c:pt idx="8">
                  <c:v>-18.791850288742435</c:v>
                </c:pt>
                <c:pt idx="9">
                  <c:v>48.682057635241542</c:v>
                </c:pt>
                <c:pt idx="10">
                  <c:v>17.507964104368824</c:v>
                </c:pt>
                <c:pt idx="11">
                  <c:v>57.8</c:v>
                </c:pt>
              </c:numCache>
            </c:numRef>
          </c:val>
        </c:ser>
        <c:ser>
          <c:idx val="1"/>
          <c:order val="1"/>
          <c:tx>
            <c:strRef>
              <c:f>amadinda1!$M$6</c:f>
              <c:strCache>
                <c:ptCount val="1"/>
                <c:pt idx="0">
                  <c:v>äqui</c:v>
                </c:pt>
              </c:strCache>
            </c:strRef>
          </c:tx>
          <c:cat>
            <c:strRef>
              <c:f>amadinda1!$K$7:$K$18</c:f>
              <c:strCache>
                <c:ptCount val="12"/>
                <c:pt idx="0">
                  <c:v>c#³</c:v>
                </c:pt>
                <c:pt idx="1">
                  <c:v>b²</c:v>
                </c:pt>
                <c:pt idx="2">
                  <c:v>g#²</c:v>
                </c:pt>
                <c:pt idx="3">
                  <c:v>f#²</c:v>
                </c:pt>
                <c:pt idx="4">
                  <c:v>d#²</c:v>
                </c:pt>
                <c:pt idx="5">
                  <c:v>c#²</c:v>
                </c:pt>
                <c:pt idx="6">
                  <c:v>b'</c:v>
                </c:pt>
                <c:pt idx="7">
                  <c:v>g#'</c:v>
                </c:pt>
                <c:pt idx="8">
                  <c:v>f#'</c:v>
                </c:pt>
                <c:pt idx="9">
                  <c:v>d#'</c:v>
                </c:pt>
                <c:pt idx="10">
                  <c:v>c#'</c:v>
                </c:pt>
                <c:pt idx="11">
                  <c:v>b</c:v>
                </c:pt>
              </c:strCache>
            </c:strRef>
          </c:cat>
          <c:val>
            <c:numRef>
              <c:f>amadinda1!$M$7:$M$18</c:f>
              <c:numCache>
                <c:formatCode>0.00</c:formatCode>
                <c:ptCount val="12"/>
                <c:pt idx="0">
                  <c:v>17.507964104369588</c:v>
                </c:pt>
                <c:pt idx="1">
                  <c:v>77.5</c:v>
                </c:pt>
                <c:pt idx="2">
                  <c:v>37.507964104367467</c:v>
                </c:pt>
                <c:pt idx="3">
                  <c:v>-2.4920358956328688</c:v>
                </c:pt>
                <c:pt idx="4">
                  <c:v>35.159999999999997</c:v>
                </c:pt>
                <c:pt idx="5">
                  <c:v>17.507964104369208</c:v>
                </c:pt>
                <c:pt idx="6">
                  <c:v>77.5</c:v>
                </c:pt>
                <c:pt idx="7">
                  <c:v>37.507964104366714</c:v>
                </c:pt>
                <c:pt idx="8">
                  <c:v>-2.4920358956334461</c:v>
                </c:pt>
                <c:pt idx="9">
                  <c:v>57.507964104366906</c:v>
                </c:pt>
                <c:pt idx="10">
                  <c:v>17.507964104368824</c:v>
                </c:pt>
                <c:pt idx="11">
                  <c:v>77.5</c:v>
                </c:pt>
              </c:numCache>
            </c:numRef>
          </c:val>
        </c:ser>
        <c:axId val="127414656"/>
        <c:axId val="127416192"/>
      </c:barChart>
      <c:catAx>
        <c:axId val="127414656"/>
        <c:scaling>
          <c:orientation val="minMax"/>
        </c:scaling>
        <c:axPos val="b"/>
        <c:tickLblPos val="nextTo"/>
        <c:crossAx val="127416192"/>
        <c:crosses val="autoZero"/>
        <c:auto val="1"/>
        <c:lblAlgn val="ctr"/>
        <c:lblOffset val="100"/>
      </c:catAx>
      <c:valAx>
        <c:axId val="127416192"/>
        <c:scaling>
          <c:orientation val="minMax"/>
        </c:scaling>
        <c:axPos val="l"/>
        <c:majorGridlines/>
        <c:numFmt formatCode="0.00" sourceLinked="1"/>
        <c:tickLblPos val="nextTo"/>
        <c:crossAx val="127414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718197725284365"/>
          <c:y val="7.369021580635754E-2"/>
          <c:w val="0.15448468941382351"/>
          <c:h val="0.16743438320210008"/>
        </c:manualLayout>
      </c:layout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>
        <c:manualLayout>
          <c:layoutTarget val="inner"/>
          <c:xMode val="edge"/>
          <c:yMode val="edge"/>
          <c:x val="8.6071741032370933E-2"/>
          <c:y val="5.1400554097404488E-2"/>
          <c:w val="0.85681714785651797"/>
          <c:h val="0.8326195683872849"/>
        </c:manualLayout>
      </c:layout>
      <c:lineChart>
        <c:grouping val="standard"/>
        <c:ser>
          <c:idx val="0"/>
          <c:order val="0"/>
          <c:tx>
            <c:strRef>
              <c:f>amadinda2!$C$6</c:f>
              <c:strCache>
                <c:ptCount val="1"/>
                <c:pt idx="0">
                  <c:v>Messung</c:v>
                </c:pt>
              </c:strCache>
            </c:strRef>
          </c:tx>
          <c:cat>
            <c:strRef>
              <c:f>amadinda2!$A$7:$A$14</c:f>
              <c:strCache>
                <c:ptCount val="8"/>
                <c:pt idx="0">
                  <c:v>c"</c:v>
                </c:pt>
                <c:pt idx="1">
                  <c:v>a'</c:v>
                </c:pt>
                <c:pt idx="2">
                  <c:v>g'</c:v>
                </c:pt>
                <c:pt idx="3">
                  <c:v>e'</c:v>
                </c:pt>
                <c:pt idx="4">
                  <c:v>d'</c:v>
                </c:pt>
                <c:pt idx="5">
                  <c:v>c'</c:v>
                </c:pt>
                <c:pt idx="6">
                  <c:v>a</c:v>
                </c:pt>
                <c:pt idx="7">
                  <c:v>g</c:v>
                </c:pt>
              </c:strCache>
            </c:strRef>
          </c:cat>
          <c:val>
            <c:numRef>
              <c:f>amadinda2!$C$7:$C$14</c:f>
              <c:numCache>
                <c:formatCode>General</c:formatCode>
                <c:ptCount val="8"/>
                <c:pt idx="0">
                  <c:v>526</c:v>
                </c:pt>
                <c:pt idx="1">
                  <c:v>443</c:v>
                </c:pt>
                <c:pt idx="2">
                  <c:v>384</c:v>
                </c:pt>
                <c:pt idx="3">
                  <c:v>329</c:v>
                </c:pt>
                <c:pt idx="4">
                  <c:v>290</c:v>
                </c:pt>
                <c:pt idx="5">
                  <c:v>254</c:v>
                </c:pt>
                <c:pt idx="6">
                  <c:v>221.5</c:v>
                </c:pt>
                <c:pt idx="7">
                  <c:v>190</c:v>
                </c:pt>
              </c:numCache>
            </c:numRef>
          </c:val>
        </c:ser>
        <c:ser>
          <c:idx val="1"/>
          <c:order val="1"/>
          <c:tx>
            <c:strRef>
              <c:f>amadinda2!$H$6</c:f>
              <c:strCache>
                <c:ptCount val="1"/>
                <c:pt idx="0">
                  <c:v>Äqui</c:v>
                </c:pt>
              </c:strCache>
            </c:strRef>
          </c:tx>
          <c:cat>
            <c:strRef>
              <c:f>amadinda2!$A$7:$A$14</c:f>
              <c:strCache>
                <c:ptCount val="8"/>
                <c:pt idx="0">
                  <c:v>c"</c:v>
                </c:pt>
                <c:pt idx="1">
                  <c:v>a'</c:v>
                </c:pt>
                <c:pt idx="2">
                  <c:v>g'</c:v>
                </c:pt>
                <c:pt idx="3">
                  <c:v>e'</c:v>
                </c:pt>
                <c:pt idx="4">
                  <c:v>d'</c:v>
                </c:pt>
                <c:pt idx="5">
                  <c:v>c'</c:v>
                </c:pt>
                <c:pt idx="6">
                  <c:v>a</c:v>
                </c:pt>
                <c:pt idx="7">
                  <c:v>g</c:v>
                </c:pt>
              </c:strCache>
            </c:strRef>
          </c:cat>
          <c:val>
            <c:numRef>
              <c:f>amadinda2!$H$7:$H$14</c:f>
              <c:numCache>
                <c:formatCode>0.00</c:formatCode>
                <c:ptCount val="8"/>
                <c:pt idx="0">
                  <c:v>526</c:v>
                </c:pt>
                <c:pt idx="1">
                  <c:v>457.90959629376124</c:v>
                </c:pt>
                <c:pt idx="2">
                  <c:v>398.63345699223464</c:v>
                </c:pt>
                <c:pt idx="3">
                  <c:v>347.03058053327112</c:v>
                </c:pt>
                <c:pt idx="4">
                  <c:v>302.10766736422011</c:v>
                </c:pt>
                <c:pt idx="5">
                  <c:v>262.99999999999989</c:v>
                </c:pt>
                <c:pt idx="6">
                  <c:v>228.95479814688053</c:v>
                </c:pt>
                <c:pt idx="7">
                  <c:v>199.31672849611724</c:v>
                </c:pt>
              </c:numCache>
            </c:numRef>
          </c:val>
        </c:ser>
        <c:marker val="1"/>
        <c:axId val="127367040"/>
        <c:axId val="127368576"/>
      </c:lineChart>
      <c:catAx>
        <c:axId val="127367040"/>
        <c:scaling>
          <c:orientation val="minMax"/>
        </c:scaling>
        <c:axPos val="b"/>
        <c:tickLblPos val="nextTo"/>
        <c:crossAx val="127368576"/>
        <c:crosses val="autoZero"/>
        <c:auto val="1"/>
        <c:lblAlgn val="ctr"/>
        <c:lblOffset val="100"/>
      </c:catAx>
      <c:valAx>
        <c:axId val="127368576"/>
        <c:scaling>
          <c:orientation val="minMax"/>
          <c:min val="180"/>
        </c:scaling>
        <c:axPos val="l"/>
        <c:majorGridlines/>
        <c:numFmt formatCode="General" sourceLinked="1"/>
        <c:tickLblPos val="nextTo"/>
        <c:crossAx val="127367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9566666666666733"/>
          <c:y val="0.13850503062117253"/>
          <c:w val="0.18488888888888891"/>
          <c:h val="0.16743438320210002"/>
        </c:manualLayout>
      </c:layout>
      <c:spPr>
        <a:solidFill>
          <a:schemeClr val="bg1"/>
        </a:solidFill>
      </c:spPr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>
        <c:manualLayout>
          <c:layoutTarget val="inner"/>
          <c:xMode val="edge"/>
          <c:yMode val="edge"/>
          <c:x val="8.6071741032370933E-2"/>
          <c:y val="5.1400554097404488E-2"/>
          <c:w val="0.87319356955380656"/>
          <c:h val="0.8326195683872849"/>
        </c:manualLayout>
      </c:layout>
      <c:barChart>
        <c:barDir val="col"/>
        <c:grouping val="clustered"/>
        <c:ser>
          <c:idx val="0"/>
          <c:order val="0"/>
          <c:tx>
            <c:strRef>
              <c:f>amadidan12!$B$8</c:f>
              <c:strCache>
                <c:ptCount val="1"/>
                <c:pt idx="0">
                  <c:v>733</c:v>
                </c:pt>
              </c:strCache>
            </c:strRef>
          </c:tx>
          <c:cat>
            <c:strRef>
              <c:f>amadidan12!$A$9:$A$16</c:f>
              <c:strCache>
                <c:ptCount val="8"/>
                <c:pt idx="0">
                  <c:v>e²</c:v>
                </c:pt>
                <c:pt idx="1">
                  <c:v>c#²</c:v>
                </c:pt>
                <c:pt idx="2">
                  <c:v>h'</c:v>
                </c:pt>
                <c:pt idx="3">
                  <c:v>g#'</c:v>
                </c:pt>
                <c:pt idx="4">
                  <c:v>f#'</c:v>
                </c:pt>
                <c:pt idx="5">
                  <c:v>d#'</c:v>
                </c:pt>
                <c:pt idx="6">
                  <c:v>c#'</c:v>
                </c:pt>
                <c:pt idx="7">
                  <c:v>h</c:v>
                </c:pt>
              </c:strCache>
            </c:strRef>
          </c:cat>
          <c:val>
            <c:numRef>
              <c:f>amadidan12!$B$9:$B$16</c:f>
              <c:numCache>
                <c:formatCode>General</c:formatCode>
                <c:ptCount val="8"/>
                <c:pt idx="0">
                  <c:v>646</c:v>
                </c:pt>
                <c:pt idx="1">
                  <c:v>561</c:v>
                </c:pt>
                <c:pt idx="2">
                  <c:v>483</c:v>
                </c:pt>
                <c:pt idx="3">
                  <c:v>420</c:v>
                </c:pt>
                <c:pt idx="4">
                  <c:v>366</c:v>
                </c:pt>
                <c:pt idx="5">
                  <c:v>320</c:v>
                </c:pt>
                <c:pt idx="6">
                  <c:v>280</c:v>
                </c:pt>
                <c:pt idx="7">
                  <c:v>241</c:v>
                </c:pt>
              </c:numCache>
            </c:numRef>
          </c:val>
        </c:ser>
        <c:ser>
          <c:idx val="1"/>
          <c:order val="1"/>
          <c:tx>
            <c:strRef>
              <c:f>amadidan12!$J$8</c:f>
              <c:strCache>
                <c:ptCount val="1"/>
                <c:pt idx="0">
                  <c:v>aminda2</c:v>
                </c:pt>
              </c:strCache>
            </c:strRef>
          </c:tx>
          <c:cat>
            <c:strRef>
              <c:f>amadidan12!$A$9:$A$16</c:f>
              <c:strCache>
                <c:ptCount val="8"/>
                <c:pt idx="0">
                  <c:v>e²</c:v>
                </c:pt>
                <c:pt idx="1">
                  <c:v>c#²</c:v>
                </c:pt>
                <c:pt idx="2">
                  <c:v>h'</c:v>
                </c:pt>
                <c:pt idx="3">
                  <c:v>g#'</c:v>
                </c:pt>
                <c:pt idx="4">
                  <c:v>f#'</c:v>
                </c:pt>
                <c:pt idx="5">
                  <c:v>d#'</c:v>
                </c:pt>
                <c:pt idx="6">
                  <c:v>c#'</c:v>
                </c:pt>
                <c:pt idx="7">
                  <c:v>h</c:v>
                </c:pt>
              </c:strCache>
            </c:strRef>
          </c:cat>
          <c:val>
            <c:numRef>
              <c:f>amadidan12!$J$9:$J$16</c:f>
              <c:numCache>
                <c:formatCode>0.00</c:formatCode>
                <c:ptCount val="8"/>
                <c:pt idx="0">
                  <c:v>667.1894736842105</c:v>
                </c:pt>
                <c:pt idx="1">
                  <c:v>561.91052631578953</c:v>
                </c:pt>
                <c:pt idx="2">
                  <c:v>487.07368421052632</c:v>
                </c:pt>
                <c:pt idx="3">
                  <c:v>417.31052631578945</c:v>
                </c:pt>
                <c:pt idx="4">
                  <c:v>367.84210526315792</c:v>
                </c:pt>
                <c:pt idx="5">
                  <c:v>322.17894736842106</c:v>
                </c:pt>
                <c:pt idx="6">
                  <c:v>280.95526315789476</c:v>
                </c:pt>
                <c:pt idx="7">
                  <c:v>241</c:v>
                </c:pt>
              </c:numCache>
            </c:numRef>
          </c:val>
        </c:ser>
        <c:ser>
          <c:idx val="2"/>
          <c:order val="2"/>
          <c:tx>
            <c:strRef>
              <c:f>amadidan12!$O$8</c:f>
              <c:strCache>
                <c:ptCount val="1"/>
                <c:pt idx="0">
                  <c:v>in Promille</c:v>
                </c:pt>
              </c:strCache>
            </c:strRef>
          </c:tx>
          <c:dLbls>
            <c:showVal val="1"/>
          </c:dLbls>
          <c:cat>
            <c:strRef>
              <c:f>amadidan12!$A$9:$A$16</c:f>
              <c:strCache>
                <c:ptCount val="8"/>
                <c:pt idx="0">
                  <c:v>e²</c:v>
                </c:pt>
                <c:pt idx="1">
                  <c:v>c#²</c:v>
                </c:pt>
                <c:pt idx="2">
                  <c:v>h'</c:v>
                </c:pt>
                <c:pt idx="3">
                  <c:v>g#'</c:v>
                </c:pt>
                <c:pt idx="4">
                  <c:v>f#'</c:v>
                </c:pt>
                <c:pt idx="5">
                  <c:v>d#'</c:v>
                </c:pt>
                <c:pt idx="6">
                  <c:v>c#'</c:v>
                </c:pt>
                <c:pt idx="7">
                  <c:v>h</c:v>
                </c:pt>
              </c:strCache>
            </c:strRef>
          </c:cat>
          <c:val>
            <c:numRef>
              <c:f>amadidan12!$O$9:$O$16</c:f>
              <c:numCache>
                <c:formatCode>0.00</c:formatCode>
                <c:ptCount val="8"/>
                <c:pt idx="0">
                  <c:v>31.759304545382747</c:v>
                </c:pt>
                <c:pt idx="1">
                  <c:v>1.6204115658047158</c:v>
                </c:pt>
                <c:pt idx="2">
                  <c:v>8.3635892116183186</c:v>
                </c:pt>
                <c:pt idx="3">
                  <c:v>6.44</c:v>
                </c:pt>
                <c:pt idx="4">
                  <c:v>5.0078695092288399</c:v>
                </c:pt>
                <c:pt idx="5">
                  <c:v>6.763158754533265</c:v>
                </c:pt>
                <c:pt idx="6">
                  <c:v>3.4000543259369351</c:v>
                </c:pt>
                <c:pt idx="7">
                  <c:v>0</c:v>
                </c:pt>
              </c:numCache>
            </c:numRef>
          </c:val>
        </c:ser>
        <c:axId val="127788160"/>
        <c:axId val="127789696"/>
      </c:barChart>
      <c:catAx>
        <c:axId val="127788160"/>
        <c:scaling>
          <c:orientation val="minMax"/>
        </c:scaling>
        <c:axPos val="b"/>
        <c:tickLblPos val="nextTo"/>
        <c:crossAx val="127789696"/>
        <c:crosses val="autoZero"/>
        <c:auto val="1"/>
        <c:lblAlgn val="ctr"/>
        <c:lblOffset val="100"/>
      </c:catAx>
      <c:valAx>
        <c:axId val="127789696"/>
        <c:scaling>
          <c:orientation val="minMax"/>
          <c:min val="0"/>
        </c:scaling>
        <c:axPos val="l"/>
        <c:majorGridlines/>
        <c:numFmt formatCode="General" sourceLinked="1"/>
        <c:tickLblPos val="nextTo"/>
        <c:crossAx val="127788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009319772528443"/>
          <c:y val="0.12442403032954216"/>
          <c:w val="0.16824868766404216"/>
          <c:h val="0.25115157480314959"/>
        </c:manualLayout>
      </c:layout>
      <c:spPr>
        <a:solidFill>
          <a:schemeClr val="bg1"/>
        </a:solidFill>
      </c:spPr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>
        <c:manualLayout>
          <c:layoutTarget val="inner"/>
          <c:xMode val="edge"/>
          <c:yMode val="edge"/>
          <c:x val="6.7397121852427619E-2"/>
          <c:y val="5.1400554097404488E-2"/>
          <c:w val="0.92492581983532662"/>
          <c:h val="0.8326195683872849"/>
        </c:manualLayout>
      </c:layout>
      <c:barChart>
        <c:barDir val="col"/>
        <c:grouping val="clustered"/>
        <c:ser>
          <c:idx val="0"/>
          <c:order val="0"/>
          <c:tx>
            <c:strRef>
              <c:f>amadidan12!$K$30</c:f>
              <c:strCache>
                <c:ptCount val="1"/>
                <c:pt idx="0">
                  <c:v>wegner</c:v>
                </c:pt>
              </c:strCache>
            </c:strRef>
          </c:tx>
          <c:dLbls>
            <c:showVal val="1"/>
          </c:dLbls>
          <c:cat>
            <c:strRef>
              <c:f>amadidan12!$J$31:$J$40</c:f>
              <c:strCache>
                <c:ptCount val="10"/>
                <c:pt idx="0">
                  <c:v>as</c:v>
                </c:pt>
                <c:pt idx="1">
                  <c:v>ges</c:v>
                </c:pt>
                <c:pt idx="2">
                  <c:v>es</c:v>
                </c:pt>
                <c:pt idx="3">
                  <c:v>des</c:v>
                </c:pt>
                <c:pt idx="4">
                  <c:v>b</c:v>
                </c:pt>
                <c:pt idx="5">
                  <c:v>as</c:v>
                </c:pt>
                <c:pt idx="6">
                  <c:v>ges</c:v>
                </c:pt>
                <c:pt idx="7">
                  <c:v>es</c:v>
                </c:pt>
                <c:pt idx="8">
                  <c:v>des</c:v>
                </c:pt>
                <c:pt idx="9">
                  <c:v>b</c:v>
                </c:pt>
              </c:strCache>
            </c:strRef>
          </c:cat>
          <c:val>
            <c:numRef>
              <c:f>amadidan12!$K$31:$K$40</c:f>
              <c:numCache>
                <c:formatCode>General</c:formatCode>
                <c:ptCount val="10"/>
                <c:pt idx="0">
                  <c:v>847</c:v>
                </c:pt>
                <c:pt idx="1">
                  <c:v>733</c:v>
                </c:pt>
                <c:pt idx="2">
                  <c:v>646</c:v>
                </c:pt>
                <c:pt idx="3">
                  <c:v>561</c:v>
                </c:pt>
                <c:pt idx="4">
                  <c:v>483</c:v>
                </c:pt>
                <c:pt idx="5">
                  <c:v>420</c:v>
                </c:pt>
                <c:pt idx="6">
                  <c:v>366</c:v>
                </c:pt>
                <c:pt idx="7">
                  <c:v>320</c:v>
                </c:pt>
                <c:pt idx="8">
                  <c:v>280</c:v>
                </c:pt>
                <c:pt idx="9">
                  <c:v>241</c:v>
                </c:pt>
              </c:numCache>
            </c:numRef>
          </c:val>
        </c:ser>
        <c:ser>
          <c:idx val="1"/>
          <c:order val="1"/>
          <c:tx>
            <c:strRef>
              <c:f>amadidan12!$N$30</c:f>
              <c:strCache>
                <c:ptCount val="1"/>
                <c:pt idx="0">
                  <c:v>Olutalo</c:v>
                </c:pt>
              </c:strCache>
            </c:strRef>
          </c:tx>
          <c:cat>
            <c:strRef>
              <c:f>amadidan12!$J$31:$J$40</c:f>
              <c:strCache>
                <c:ptCount val="10"/>
                <c:pt idx="0">
                  <c:v>as</c:v>
                </c:pt>
                <c:pt idx="1">
                  <c:v>ges</c:v>
                </c:pt>
                <c:pt idx="2">
                  <c:v>es</c:v>
                </c:pt>
                <c:pt idx="3">
                  <c:v>des</c:v>
                </c:pt>
                <c:pt idx="4">
                  <c:v>b</c:v>
                </c:pt>
                <c:pt idx="5">
                  <c:v>as</c:v>
                </c:pt>
                <c:pt idx="6">
                  <c:v>ges</c:v>
                </c:pt>
                <c:pt idx="7">
                  <c:v>es</c:v>
                </c:pt>
                <c:pt idx="8">
                  <c:v>des</c:v>
                </c:pt>
                <c:pt idx="9">
                  <c:v>b</c:v>
                </c:pt>
              </c:strCache>
            </c:strRef>
          </c:cat>
          <c:val>
            <c:numRef>
              <c:f>amadidan12!$N$31:$N$40</c:f>
              <c:numCache>
                <c:formatCode>General</c:formatCode>
                <c:ptCount val="10"/>
                <c:pt idx="0">
                  <c:v>816</c:v>
                </c:pt>
                <c:pt idx="1">
                  <c:v>722</c:v>
                </c:pt>
                <c:pt idx="2">
                  <c:v>624</c:v>
                </c:pt>
                <c:pt idx="3">
                  <c:v>534</c:v>
                </c:pt>
                <c:pt idx="4">
                  <c:v>466</c:v>
                </c:pt>
                <c:pt idx="5">
                  <c:v>408</c:v>
                </c:pt>
                <c:pt idx="6">
                  <c:v>359</c:v>
                </c:pt>
                <c:pt idx="7">
                  <c:v>310</c:v>
                </c:pt>
                <c:pt idx="8">
                  <c:v>271</c:v>
                </c:pt>
                <c:pt idx="9">
                  <c:v>233</c:v>
                </c:pt>
              </c:numCache>
            </c:numRef>
          </c:val>
        </c:ser>
        <c:axId val="127675392"/>
        <c:axId val="127685376"/>
      </c:barChart>
      <c:catAx>
        <c:axId val="127675392"/>
        <c:scaling>
          <c:orientation val="minMax"/>
        </c:scaling>
        <c:axPos val="b"/>
        <c:tickLblPos val="nextTo"/>
        <c:crossAx val="127685376"/>
        <c:crosses val="autoZero"/>
        <c:auto val="1"/>
        <c:lblAlgn val="ctr"/>
        <c:lblOffset val="100"/>
      </c:catAx>
      <c:valAx>
        <c:axId val="127685376"/>
        <c:scaling>
          <c:orientation val="minMax"/>
        </c:scaling>
        <c:axPos val="l"/>
        <c:majorGridlines/>
        <c:numFmt formatCode="General" sourceLinked="1"/>
        <c:tickLblPos val="nextTo"/>
        <c:crossAx val="1276753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0130686789151357"/>
          <c:y val="0.18480132691746881"/>
          <c:w val="0.10338124537042995"/>
          <c:h val="0.16743438320209997"/>
        </c:manualLayout>
      </c:layout>
      <c:spPr>
        <a:solidFill>
          <a:schemeClr val="bg1"/>
        </a:solidFill>
      </c:spPr>
    </c:legend>
    <c:plotVisOnly val="1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>
        <c:manualLayout>
          <c:layoutTarget val="inner"/>
          <c:xMode val="edge"/>
          <c:yMode val="edge"/>
          <c:x val="8.607174103237096E-2"/>
          <c:y val="5.1400554097404488E-2"/>
          <c:w val="0.88186023622047249"/>
          <c:h val="0.8326195683872849"/>
        </c:manualLayout>
      </c:layout>
      <c:barChart>
        <c:barDir val="col"/>
        <c:grouping val="clustered"/>
        <c:ser>
          <c:idx val="0"/>
          <c:order val="0"/>
          <c:tx>
            <c:strRef>
              <c:f>'Mbira-Video'!$C$11</c:f>
              <c:strCache>
                <c:ptCount val="1"/>
                <c:pt idx="0">
                  <c:v>Messung</c:v>
                </c:pt>
              </c:strCache>
            </c:strRef>
          </c:tx>
          <c:dLbls>
            <c:showVal val="1"/>
          </c:dLbls>
          <c:cat>
            <c:strRef>
              <c:f>'Mbira-Video'!$B$12:$B$16</c:f>
              <c:strCache>
                <c:ptCount val="5"/>
                <c:pt idx="0">
                  <c:v>g</c:v>
                </c:pt>
                <c:pt idx="1">
                  <c:v>c'</c:v>
                </c:pt>
                <c:pt idx="2">
                  <c:v>d'</c:v>
                </c:pt>
                <c:pt idx="3">
                  <c:v>e'</c:v>
                </c:pt>
                <c:pt idx="4">
                  <c:v>f'</c:v>
                </c:pt>
              </c:strCache>
            </c:strRef>
          </c:cat>
          <c:val>
            <c:numRef>
              <c:f>'Mbira-Video'!$C$12:$C$16</c:f>
              <c:numCache>
                <c:formatCode>General</c:formatCode>
                <c:ptCount val="5"/>
                <c:pt idx="0">
                  <c:v>195</c:v>
                </c:pt>
                <c:pt idx="1">
                  <c:v>267</c:v>
                </c:pt>
                <c:pt idx="2">
                  <c:v>295</c:v>
                </c:pt>
                <c:pt idx="3">
                  <c:v>327</c:v>
                </c:pt>
                <c:pt idx="4">
                  <c:v>358</c:v>
                </c:pt>
              </c:numCache>
            </c:numRef>
          </c:val>
        </c:ser>
        <c:ser>
          <c:idx val="1"/>
          <c:order val="1"/>
          <c:tx>
            <c:strRef>
              <c:f>'Mbira-Video'!$H$11</c:f>
              <c:strCache>
                <c:ptCount val="1"/>
                <c:pt idx="0">
                  <c:v>7-temp.</c:v>
                </c:pt>
              </c:strCache>
            </c:strRef>
          </c:tx>
          <c:dLbls>
            <c:showVal val="1"/>
          </c:dLbls>
          <c:cat>
            <c:strRef>
              <c:f>'Mbira-Video'!$B$12:$B$16</c:f>
              <c:strCache>
                <c:ptCount val="5"/>
                <c:pt idx="0">
                  <c:v>g</c:v>
                </c:pt>
                <c:pt idx="1">
                  <c:v>c'</c:v>
                </c:pt>
                <c:pt idx="2">
                  <c:v>d'</c:v>
                </c:pt>
                <c:pt idx="3">
                  <c:v>e'</c:v>
                </c:pt>
                <c:pt idx="4">
                  <c:v>f'</c:v>
                </c:pt>
              </c:strCache>
            </c:strRef>
          </c:cat>
          <c:val>
            <c:numRef>
              <c:f>'Mbira-Video'!$H$12:$H$16</c:f>
              <c:numCache>
                <c:formatCode>0</c:formatCode>
                <c:ptCount val="5"/>
                <c:pt idx="0" formatCode="General">
                  <c:v>195</c:v>
                </c:pt>
                <c:pt idx="1">
                  <c:v>262.45053756330947</c:v>
                </c:pt>
                <c:pt idx="2">
                  <c:v>294.79190015090785</c:v>
                </c:pt>
                <c:pt idx="3">
                  <c:v>325.70640653377461</c:v>
                </c:pt>
                <c:pt idx="4">
                  <c:v>361.03727097133662</c:v>
                </c:pt>
              </c:numCache>
            </c:numRef>
          </c:val>
        </c:ser>
        <c:axId val="85816448"/>
        <c:axId val="85817984"/>
      </c:barChart>
      <c:catAx>
        <c:axId val="85816448"/>
        <c:scaling>
          <c:orientation val="minMax"/>
        </c:scaling>
        <c:axPos val="b"/>
        <c:tickLblPos val="nextTo"/>
        <c:crossAx val="85817984"/>
        <c:crosses val="autoZero"/>
        <c:auto val="1"/>
        <c:lblAlgn val="ctr"/>
        <c:lblOffset val="100"/>
      </c:catAx>
      <c:valAx>
        <c:axId val="85817984"/>
        <c:scaling>
          <c:orientation val="minMax"/>
          <c:min val="150"/>
        </c:scaling>
        <c:axPos val="l"/>
        <c:majorGridlines/>
        <c:numFmt formatCode="General" sourceLinked="1"/>
        <c:tickLblPos val="nextTo"/>
        <c:crossAx val="85816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7904308836395444"/>
          <c:y val="0.17091243802857975"/>
          <c:w val="0.13294720841459062"/>
          <c:h val="0.16743438320209975"/>
        </c:manualLayout>
      </c:layout>
      <c:spPr>
        <a:solidFill>
          <a:schemeClr val="bg1"/>
        </a:solidFill>
      </c:spPr>
    </c:legend>
    <c:plotVisOnly val="1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10</xdr:col>
      <xdr:colOff>348457</xdr:colOff>
      <xdr:row>30</xdr:row>
      <xdr:rowOff>114048</xdr:rowOff>
    </xdr:to>
    <xdr:pic>
      <xdr:nvPicPr>
        <xdr:cNvPr id="2" name="Grafik 1" descr="amadind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0" y="3857625"/>
          <a:ext cx="6349207" cy="2019048"/>
        </a:xfrm>
        <a:prstGeom prst="rect">
          <a:avLst/>
        </a:prstGeom>
      </xdr:spPr>
    </xdr:pic>
    <xdr:clientData/>
  </xdr:twoCellAnchor>
  <xdr:twoCellAnchor>
    <xdr:from>
      <xdr:col>11</xdr:col>
      <xdr:colOff>476250</xdr:colOff>
      <xdr:row>18</xdr:row>
      <xdr:rowOff>171450</xdr:rowOff>
    </xdr:from>
    <xdr:to>
      <xdr:col>19</xdr:col>
      <xdr:colOff>323850</xdr:colOff>
      <xdr:row>33</xdr:row>
      <xdr:rowOff>57150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428625</xdr:colOff>
      <xdr:row>31</xdr:row>
      <xdr:rowOff>38100</xdr:rowOff>
    </xdr:from>
    <xdr:to>
      <xdr:col>9</xdr:col>
      <xdr:colOff>47625</xdr:colOff>
      <xdr:row>45</xdr:row>
      <xdr:rowOff>114300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</xdr:col>
      <xdr:colOff>180975</xdr:colOff>
      <xdr:row>39</xdr:row>
      <xdr:rowOff>28575</xdr:rowOff>
    </xdr:from>
    <xdr:ext cx="2141164" cy="264560"/>
    <xdr:sp macro="" textlink="">
      <xdr:nvSpPr>
        <xdr:cNvPr id="5" name="Textfeld 4"/>
        <xdr:cNvSpPr txBox="1"/>
      </xdr:nvSpPr>
      <xdr:spPr>
        <a:xfrm>
          <a:off x="1190625" y="7505700"/>
          <a:ext cx="21411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de-DE" sz="1100" b="1"/>
            <a:t>Tonhöhenverlauf (logarithmisch )</a:t>
          </a:r>
        </a:p>
      </xdr:txBody>
    </xdr:sp>
    <xdr:clientData/>
  </xdr:oneCellAnchor>
  <xdr:twoCellAnchor>
    <xdr:from>
      <xdr:col>13</xdr:col>
      <xdr:colOff>257175</xdr:colOff>
      <xdr:row>4</xdr:row>
      <xdr:rowOff>38100</xdr:rowOff>
    </xdr:from>
    <xdr:to>
      <xdr:col>19</xdr:col>
      <xdr:colOff>257175</xdr:colOff>
      <xdr:row>18</xdr:row>
      <xdr:rowOff>114300</xdr:rowOff>
    </xdr:to>
    <xdr:graphicFrame macro="">
      <xdr:nvGraphicFramePr>
        <xdr:cNvPr id="7" name="Diagram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285750</xdr:colOff>
      <xdr:row>4</xdr:row>
      <xdr:rowOff>171450</xdr:rowOff>
    </xdr:from>
    <xdr:to>
      <xdr:col>15</xdr:col>
      <xdr:colOff>285750</xdr:colOff>
      <xdr:row>19</xdr:row>
      <xdr:rowOff>57150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17</xdr:row>
      <xdr:rowOff>104775</xdr:rowOff>
    </xdr:from>
    <xdr:to>
      <xdr:col>6</xdr:col>
      <xdr:colOff>161925</xdr:colOff>
      <xdr:row>31</xdr:row>
      <xdr:rowOff>180975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66674</xdr:colOff>
      <xdr:row>44</xdr:row>
      <xdr:rowOff>28575</xdr:rowOff>
    </xdr:from>
    <xdr:to>
      <xdr:col>10</xdr:col>
      <xdr:colOff>447674</xdr:colOff>
      <xdr:row>58</xdr:row>
      <xdr:rowOff>104775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135732</xdr:colOff>
      <xdr:row>5</xdr:row>
      <xdr:rowOff>66675</xdr:rowOff>
    </xdr:from>
    <xdr:to>
      <xdr:col>23</xdr:col>
      <xdr:colOff>520700</xdr:colOff>
      <xdr:row>25</xdr:row>
      <xdr:rowOff>101599</xdr:rowOff>
    </xdr:to>
    <xdr:pic>
      <xdr:nvPicPr>
        <xdr:cNvPr id="4" name="Grafik 3" descr="Mbira-mit Zahlen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13607" y="1028700"/>
          <a:ext cx="3432968" cy="38449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742950</xdr:colOff>
      <xdr:row>1</xdr:row>
      <xdr:rowOff>177997</xdr:rowOff>
    </xdr:from>
    <xdr:to>
      <xdr:col>12</xdr:col>
      <xdr:colOff>723900</xdr:colOff>
      <xdr:row>15</xdr:row>
      <xdr:rowOff>66674</xdr:rowOff>
    </xdr:to>
    <xdr:pic>
      <xdr:nvPicPr>
        <xdr:cNvPr id="2" name="Grafik 1" descr="Mbira-Lamellen-Demovide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38850" y="378022"/>
          <a:ext cx="3028950" cy="2555677"/>
        </a:xfrm>
        <a:prstGeom prst="rect">
          <a:avLst/>
        </a:prstGeom>
      </xdr:spPr>
    </xdr:pic>
    <xdr:clientData/>
  </xdr:twoCellAnchor>
  <xdr:twoCellAnchor>
    <xdr:from>
      <xdr:col>8</xdr:col>
      <xdr:colOff>657224</xdr:colOff>
      <xdr:row>18</xdr:row>
      <xdr:rowOff>180975</xdr:rowOff>
    </xdr:from>
    <xdr:to>
      <xdr:col>15</xdr:col>
      <xdr:colOff>438149</xdr:colOff>
      <xdr:row>33</xdr:row>
      <xdr:rowOff>66675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9"/>
  <sheetViews>
    <sheetView workbookViewId="0">
      <selection activeCell="K7" sqref="K6:K7"/>
    </sheetView>
  </sheetViews>
  <sheetFormatPr baseColWidth="10" defaultRowHeight="15"/>
  <cols>
    <col min="11" max="11" width="12" customWidth="1"/>
    <col min="16" max="16" width="3.7109375" customWidth="1"/>
  </cols>
  <sheetData>
    <row r="1" spans="1:17" ht="18.75">
      <c r="A1" s="16" t="s">
        <v>32</v>
      </c>
      <c r="B1" s="19"/>
      <c r="C1" s="14"/>
      <c r="E1" s="5"/>
      <c r="F1" s="5"/>
      <c r="G1" s="5"/>
    </row>
    <row r="2" spans="1:17" ht="18.75">
      <c r="A2" s="16"/>
      <c r="B2" s="19"/>
      <c r="C2" s="15"/>
      <c r="E2" s="5"/>
      <c r="F2" s="5"/>
      <c r="G2" s="5"/>
    </row>
    <row r="3" spans="1:17">
      <c r="B3" s="19"/>
      <c r="C3" s="15"/>
      <c r="E3" s="18" t="s">
        <v>33</v>
      </c>
      <c r="F3" s="18"/>
      <c r="G3" s="18"/>
      <c r="I3" s="12" t="s">
        <v>34</v>
      </c>
      <c r="J3" s="12"/>
      <c r="K3" s="12"/>
      <c r="M3" s="12" t="s">
        <v>35</v>
      </c>
      <c r="N3" s="12"/>
      <c r="O3" s="12"/>
    </row>
    <row r="4" spans="1:17">
      <c r="A4" t="s">
        <v>7</v>
      </c>
      <c r="B4" s="19" t="s">
        <v>1</v>
      </c>
      <c r="C4" s="17"/>
      <c r="E4" s="6" t="s">
        <v>20</v>
      </c>
      <c r="F4" s="6" t="s">
        <v>21</v>
      </c>
      <c r="G4" s="6" t="s">
        <v>19</v>
      </c>
      <c r="I4" s="9" t="s">
        <v>20</v>
      </c>
      <c r="J4" s="9" t="s">
        <v>19</v>
      </c>
      <c r="K4" s="9" t="s">
        <v>21</v>
      </c>
      <c r="M4" s="8" t="s">
        <v>19</v>
      </c>
      <c r="N4" s="8" t="s">
        <v>22</v>
      </c>
      <c r="O4" s="8" t="s">
        <v>23</v>
      </c>
      <c r="Q4" s="24" t="s">
        <v>38</v>
      </c>
    </row>
    <row r="5" spans="1:17">
      <c r="A5" t="s">
        <v>18</v>
      </c>
      <c r="B5" s="19">
        <v>55</v>
      </c>
      <c r="C5" s="2"/>
      <c r="E5" s="6"/>
      <c r="F5" s="6"/>
      <c r="G5" s="6"/>
      <c r="I5" s="10"/>
      <c r="J5" s="10"/>
      <c r="K5" s="10"/>
      <c r="M5" s="6"/>
      <c r="N5" s="6"/>
      <c r="O5" s="6"/>
    </row>
    <row r="6" spans="1:17">
      <c r="A6" t="s">
        <v>8</v>
      </c>
      <c r="B6" s="19">
        <f>B5*2^(1/12)</f>
        <v>58.270470189761241</v>
      </c>
      <c r="C6" s="3"/>
      <c r="E6" s="6">
        <v>55</v>
      </c>
      <c r="F6" s="37">
        <v>58.270473000000003</v>
      </c>
      <c r="G6" s="37">
        <f>1200*(LN(F6/E6)/LN(2))</f>
        <v>100.00008349307815</v>
      </c>
      <c r="I6" s="10">
        <v>55</v>
      </c>
      <c r="J6" s="10">
        <v>100</v>
      </c>
      <c r="K6" s="11">
        <f t="shared" ref="K6:K7" si="0" xml:space="preserve"> I6*POWER(2,J6/1200)</f>
        <v>58.270470189761241</v>
      </c>
      <c r="M6" s="6">
        <v>-200</v>
      </c>
      <c r="N6" s="7">
        <f>V4*(128/400)+64</f>
        <v>64</v>
      </c>
      <c r="O6" s="7">
        <f>128*(N6-INT(N6))</f>
        <v>0</v>
      </c>
    </row>
    <row r="7" spans="1:17">
      <c r="A7" t="s">
        <v>9</v>
      </c>
      <c r="B7" s="19">
        <f t="shared" ref="B7:B70" si="1">B6*2^(1/12)</f>
        <v>61.735412657015516</v>
      </c>
      <c r="C7" s="2"/>
      <c r="E7" s="6">
        <v>220</v>
      </c>
      <c r="F7" s="6">
        <v>330</v>
      </c>
      <c r="G7" s="37">
        <f>1200*(LN(F7/E7)/LN(2))</f>
        <v>701.95500086538743</v>
      </c>
      <c r="I7" s="10">
        <v>220</v>
      </c>
      <c r="J7" s="10">
        <v>700</v>
      </c>
      <c r="K7" s="11">
        <f t="shared" si="0"/>
        <v>329.62755691286992</v>
      </c>
      <c r="M7" s="6">
        <v>-100</v>
      </c>
      <c r="N7" s="7">
        <f t="shared" ref="N7:N15" si="2">M7*(128/400)+64</f>
        <v>32</v>
      </c>
      <c r="O7" s="7">
        <f t="shared" ref="O7:O15" si="3">128*(N7-INT(N7))</f>
        <v>0</v>
      </c>
    </row>
    <row r="8" spans="1:17">
      <c r="A8" s="12" t="s">
        <v>24</v>
      </c>
      <c r="B8" s="23">
        <f t="shared" si="1"/>
        <v>65.40639132514967</v>
      </c>
      <c r="C8" s="13"/>
      <c r="E8" s="6">
        <v>5</v>
      </c>
      <c r="F8" s="21">
        <v>6</v>
      </c>
      <c r="G8" s="37">
        <f>1200*(LN(F8/E8)/LN(2))</f>
        <v>315.64128700055255</v>
      </c>
      <c r="I8" s="10">
        <v>220</v>
      </c>
      <c r="J8" s="10">
        <v>702</v>
      </c>
      <c r="K8" s="36">
        <f xml:space="preserve"> I8*POWER(2,J8/1200)</f>
        <v>330.00857764287997</v>
      </c>
      <c r="M8" s="6">
        <v>0</v>
      </c>
      <c r="N8" s="7">
        <f t="shared" si="2"/>
        <v>64</v>
      </c>
      <c r="O8" s="7">
        <f t="shared" si="3"/>
        <v>0</v>
      </c>
    </row>
    <row r="9" spans="1:17">
      <c r="A9" t="s">
        <v>10</v>
      </c>
      <c r="B9" s="19">
        <f t="shared" si="1"/>
        <v>69.295657744218033</v>
      </c>
      <c r="C9" s="3"/>
      <c r="E9" s="21">
        <v>4</v>
      </c>
      <c r="F9" s="21">
        <v>5</v>
      </c>
      <c r="G9" s="37">
        <f>1200*(LN(F9/E9)/LN(2))</f>
        <v>386.31371386483482</v>
      </c>
      <c r="I9" s="4"/>
      <c r="J9" s="4"/>
      <c r="K9" s="11"/>
      <c r="M9" s="6">
        <v>1</v>
      </c>
      <c r="N9" s="7">
        <f t="shared" si="2"/>
        <v>64.319999999999993</v>
      </c>
      <c r="O9" s="7">
        <f t="shared" si="3"/>
        <v>40.959999999999127</v>
      </c>
    </row>
    <row r="10" spans="1:17">
      <c r="A10" t="s">
        <v>11</v>
      </c>
      <c r="B10" s="19">
        <f t="shared" si="1"/>
        <v>73.416191979351908</v>
      </c>
      <c r="C10" s="2"/>
      <c r="E10" s="6"/>
      <c r="F10" s="5"/>
      <c r="G10" s="7"/>
      <c r="I10" s="4"/>
      <c r="J10" s="4"/>
      <c r="K10" s="11"/>
      <c r="M10" s="6">
        <v>10</v>
      </c>
      <c r="N10" s="7">
        <f t="shared" si="2"/>
        <v>67.2</v>
      </c>
      <c r="O10" s="7">
        <f t="shared" si="3"/>
        <v>25.600000000000364</v>
      </c>
    </row>
    <row r="11" spans="1:17">
      <c r="A11" t="s">
        <v>12</v>
      </c>
      <c r="B11" s="19">
        <f t="shared" si="1"/>
        <v>77.781745930520245</v>
      </c>
      <c r="C11" s="3"/>
      <c r="E11" s="6"/>
      <c r="F11" s="6"/>
      <c r="G11" s="7"/>
      <c r="I11" s="4"/>
      <c r="J11" s="4"/>
      <c r="K11" s="11"/>
      <c r="M11" s="6">
        <v>50</v>
      </c>
      <c r="N11" s="7">
        <f t="shared" si="2"/>
        <v>80</v>
      </c>
      <c r="O11" s="7">
        <f t="shared" si="3"/>
        <v>0</v>
      </c>
    </row>
    <row r="12" spans="1:17">
      <c r="A12" t="s">
        <v>13</v>
      </c>
      <c r="B12" s="19">
        <f t="shared" si="1"/>
        <v>82.406889228217509</v>
      </c>
      <c r="C12" s="2"/>
      <c r="E12" s="5"/>
      <c r="F12" s="5"/>
      <c r="G12" s="5"/>
      <c r="K12" s="1"/>
      <c r="M12" s="6">
        <v>51</v>
      </c>
      <c r="N12" s="7">
        <f t="shared" si="2"/>
        <v>80.319999999999993</v>
      </c>
      <c r="O12" s="7">
        <f t="shared" si="3"/>
        <v>40.959999999999127</v>
      </c>
    </row>
    <row r="13" spans="1:17">
      <c r="A13" t="s">
        <v>14</v>
      </c>
      <c r="B13" s="19">
        <f t="shared" si="1"/>
        <v>87.307057858251</v>
      </c>
      <c r="C13" s="2"/>
      <c r="E13" s="5"/>
      <c r="F13" s="5"/>
      <c r="G13" s="5"/>
      <c r="M13" s="6">
        <v>99</v>
      </c>
      <c r="N13" s="7">
        <f t="shared" si="2"/>
        <v>95.68</v>
      </c>
      <c r="O13" s="7">
        <f t="shared" si="3"/>
        <v>87.040000000000873</v>
      </c>
    </row>
    <row r="14" spans="1:17">
      <c r="A14" t="s">
        <v>15</v>
      </c>
      <c r="B14" s="19">
        <f t="shared" si="1"/>
        <v>92.498605677908628</v>
      </c>
      <c r="C14" s="3"/>
      <c r="E14" s="25" t="s">
        <v>45</v>
      </c>
      <c r="F14" s="26"/>
      <c r="G14" s="26"/>
      <c r="H14" s="27"/>
      <c r="I14" s="27"/>
      <c r="J14" s="27"/>
      <c r="K14" s="28"/>
      <c r="M14" s="6">
        <v>100</v>
      </c>
      <c r="N14" s="7">
        <f t="shared" si="2"/>
        <v>96</v>
      </c>
      <c r="O14" s="7">
        <f t="shared" si="3"/>
        <v>0</v>
      </c>
    </row>
    <row r="15" spans="1:17">
      <c r="A15" t="s">
        <v>16</v>
      </c>
      <c r="B15" s="19">
        <f t="shared" si="1"/>
        <v>97.998858995437359</v>
      </c>
      <c r="C15" s="2"/>
      <c r="E15" s="29" t="s">
        <v>43</v>
      </c>
      <c r="F15" s="30"/>
      <c r="G15" s="30"/>
      <c r="H15" s="15"/>
      <c r="I15" s="15"/>
      <c r="J15" s="15"/>
      <c r="K15" s="31"/>
      <c r="M15" s="6">
        <v>200</v>
      </c>
      <c r="N15" s="7">
        <f t="shared" si="2"/>
        <v>128</v>
      </c>
      <c r="O15" s="7">
        <f t="shared" si="3"/>
        <v>0</v>
      </c>
    </row>
    <row r="16" spans="1:17">
      <c r="A16" t="s">
        <v>17</v>
      </c>
      <c r="B16" s="19">
        <f t="shared" si="1"/>
        <v>103.82617439498632</v>
      </c>
      <c r="C16" s="3"/>
      <c r="E16" s="29" t="s">
        <v>44</v>
      </c>
      <c r="F16" s="30"/>
      <c r="G16" s="30"/>
      <c r="H16" s="15"/>
      <c r="I16" s="15"/>
      <c r="J16" s="15"/>
      <c r="K16" s="31"/>
      <c r="M16" s="6"/>
      <c r="N16" s="7"/>
      <c r="O16" s="7"/>
    </row>
    <row r="17" spans="1:15">
      <c r="A17" t="s">
        <v>3</v>
      </c>
      <c r="B17" s="19">
        <f t="shared" si="1"/>
        <v>110.00000000000004</v>
      </c>
      <c r="C17" s="2"/>
      <c r="E17" s="32" t="s">
        <v>42</v>
      </c>
      <c r="F17" s="33"/>
      <c r="G17" s="33"/>
      <c r="H17" s="34"/>
      <c r="I17" s="34"/>
      <c r="J17" s="34"/>
      <c r="K17" s="35"/>
      <c r="M17" s="4"/>
      <c r="N17" s="7"/>
      <c r="O17" s="7"/>
    </row>
    <row r="18" spans="1:15">
      <c r="A18" t="s">
        <v>8</v>
      </c>
      <c r="B18" s="19">
        <f t="shared" si="1"/>
        <v>116.54094037952252</v>
      </c>
      <c r="C18" s="3"/>
      <c r="F18" s="5"/>
      <c r="G18" s="5"/>
      <c r="M18" s="4"/>
      <c r="N18" s="7"/>
      <c r="O18" s="7"/>
    </row>
    <row r="19" spans="1:15">
      <c r="A19" t="s">
        <v>9</v>
      </c>
      <c r="B19" s="19">
        <f t="shared" si="1"/>
        <v>123.47082531403107</v>
      </c>
      <c r="C19" s="2"/>
      <c r="E19" s="5"/>
      <c r="F19" s="5"/>
      <c r="G19" s="5"/>
      <c r="M19" s="4"/>
      <c r="N19" s="7"/>
      <c r="O19" s="7"/>
    </row>
    <row r="20" spans="1:15">
      <c r="A20" s="12" t="s">
        <v>25</v>
      </c>
      <c r="B20" s="20">
        <f t="shared" si="1"/>
        <v>130.81278265029937</v>
      </c>
      <c r="C20" s="13"/>
      <c r="E20" s="5"/>
      <c r="F20" s="5"/>
      <c r="G20" s="5"/>
    </row>
    <row r="21" spans="1:15">
      <c r="A21" t="s">
        <v>10</v>
      </c>
      <c r="B21" s="19">
        <f t="shared" si="1"/>
        <v>138.59131548843609</v>
      </c>
      <c r="C21" s="3"/>
      <c r="E21" s="22" t="s">
        <v>41</v>
      </c>
      <c r="F21" s="5"/>
      <c r="G21" s="5"/>
    </row>
    <row r="22" spans="1:15">
      <c r="A22" t="s">
        <v>11</v>
      </c>
      <c r="B22" s="19">
        <f>B21*2^(1/12)</f>
        <v>146.83238395870384</v>
      </c>
      <c r="C22" s="2"/>
      <c r="E22" s="22" t="s">
        <v>36</v>
      </c>
      <c r="F22" s="5"/>
      <c r="G22" s="5"/>
    </row>
    <row r="23" spans="1:15">
      <c r="A23" t="s">
        <v>12</v>
      </c>
      <c r="B23" s="19">
        <f t="shared" si="1"/>
        <v>155.56349186104052</v>
      </c>
      <c r="C23" s="3"/>
      <c r="E23" s="22" t="s">
        <v>37</v>
      </c>
      <c r="F23" s="5"/>
      <c r="G23" s="5"/>
    </row>
    <row r="24" spans="1:15">
      <c r="A24" t="s">
        <v>13</v>
      </c>
      <c r="B24" s="19">
        <f t="shared" si="1"/>
        <v>164.81377845643505</v>
      </c>
      <c r="C24" s="2"/>
      <c r="E24" s="22" t="s">
        <v>39</v>
      </c>
      <c r="F24" s="5"/>
      <c r="G24" s="5"/>
    </row>
    <row r="25" spans="1:15">
      <c r="A25" t="s">
        <v>14</v>
      </c>
      <c r="B25" s="19">
        <f t="shared" si="1"/>
        <v>174.61411571650203</v>
      </c>
      <c r="C25" s="2"/>
      <c r="E25" s="22" t="s">
        <v>40</v>
      </c>
      <c r="F25" s="5"/>
      <c r="G25" s="5"/>
    </row>
    <row r="26" spans="1:15">
      <c r="A26" t="s">
        <v>15</v>
      </c>
      <c r="B26" s="19">
        <f t="shared" si="1"/>
        <v>184.99721135581729</v>
      </c>
      <c r="C26" s="3"/>
      <c r="E26" s="5"/>
      <c r="F26" s="5"/>
      <c r="G26" s="5"/>
    </row>
    <row r="27" spans="1:15">
      <c r="A27" t="s">
        <v>16</v>
      </c>
      <c r="B27" s="19">
        <f t="shared" si="1"/>
        <v>195.99771799087475</v>
      </c>
      <c r="C27" s="2"/>
      <c r="E27" s="5"/>
      <c r="F27" s="5"/>
      <c r="G27" s="5"/>
    </row>
    <row r="28" spans="1:15">
      <c r="A28" t="s">
        <v>17</v>
      </c>
      <c r="B28" s="19">
        <f t="shared" si="1"/>
        <v>207.65234878997268</v>
      </c>
      <c r="C28" s="3"/>
      <c r="E28" s="5"/>
      <c r="F28" s="5"/>
      <c r="G28" s="5"/>
    </row>
    <row r="29" spans="1:15">
      <c r="A29" t="s">
        <v>2</v>
      </c>
      <c r="B29" s="19">
        <f t="shared" si="1"/>
        <v>220.00000000000011</v>
      </c>
      <c r="C29" s="2"/>
      <c r="E29" s="5"/>
      <c r="F29" s="5"/>
      <c r="G29" s="5"/>
    </row>
    <row r="30" spans="1:15">
      <c r="A30" t="s">
        <v>8</v>
      </c>
      <c r="B30" s="19">
        <f t="shared" si="1"/>
        <v>233.08188075904508</v>
      </c>
      <c r="C30" s="3"/>
      <c r="E30" s="5"/>
      <c r="F30" s="5"/>
      <c r="G30" s="5"/>
    </row>
    <row r="31" spans="1:15">
      <c r="A31" t="s">
        <v>9</v>
      </c>
      <c r="B31" s="19">
        <f t="shared" si="1"/>
        <v>246.94165062806221</v>
      </c>
      <c r="C31" s="2"/>
      <c r="E31" s="5"/>
      <c r="F31" s="5"/>
      <c r="G31" s="5"/>
    </row>
    <row r="32" spans="1:15">
      <c r="A32" s="12" t="s">
        <v>28</v>
      </c>
      <c r="B32" s="20">
        <f t="shared" si="1"/>
        <v>261.62556530059879</v>
      </c>
      <c r="C32" s="13"/>
      <c r="E32" s="5"/>
      <c r="F32" s="5"/>
      <c r="G32" s="5"/>
    </row>
    <row r="33" spans="1:7">
      <c r="A33" t="s">
        <v>10</v>
      </c>
      <c r="B33" s="19">
        <f t="shared" si="1"/>
        <v>277.1826309768723</v>
      </c>
      <c r="C33" s="3"/>
      <c r="E33" s="5"/>
      <c r="F33" s="5"/>
      <c r="G33" s="5"/>
    </row>
    <row r="34" spans="1:7">
      <c r="A34" t="s">
        <v>11</v>
      </c>
      <c r="B34" s="19">
        <f t="shared" si="1"/>
        <v>293.6647679174078</v>
      </c>
      <c r="C34" s="2"/>
      <c r="E34" s="5"/>
      <c r="F34" s="5"/>
      <c r="G34" s="5"/>
    </row>
    <row r="35" spans="1:7">
      <c r="A35" t="s">
        <v>12</v>
      </c>
      <c r="B35" s="19">
        <f t="shared" si="1"/>
        <v>311.12698372208121</v>
      </c>
      <c r="C35" s="3"/>
      <c r="E35" s="5"/>
      <c r="F35" s="5"/>
      <c r="G35" s="5"/>
    </row>
    <row r="36" spans="1:7">
      <c r="A36" t="s">
        <v>13</v>
      </c>
      <c r="B36" s="19">
        <f t="shared" si="1"/>
        <v>329.62755691287026</v>
      </c>
      <c r="C36" s="2"/>
      <c r="E36" s="5"/>
      <c r="F36" s="5"/>
      <c r="G36" s="5"/>
    </row>
    <row r="37" spans="1:7">
      <c r="A37" t="s">
        <v>14</v>
      </c>
      <c r="B37" s="19">
        <f t="shared" si="1"/>
        <v>349.22823143300423</v>
      </c>
      <c r="C37" s="2"/>
      <c r="E37" s="5"/>
      <c r="F37" s="5"/>
      <c r="G37" s="5"/>
    </row>
    <row r="38" spans="1:7">
      <c r="A38" t="s">
        <v>15</v>
      </c>
      <c r="B38" s="19">
        <f t="shared" si="1"/>
        <v>369.9944227116348</v>
      </c>
      <c r="C38" s="3"/>
      <c r="E38" s="5"/>
      <c r="F38" s="5"/>
      <c r="G38" s="5"/>
    </row>
    <row r="39" spans="1:7">
      <c r="A39" t="s">
        <v>16</v>
      </c>
      <c r="B39" s="19">
        <f t="shared" si="1"/>
        <v>391.99543598174972</v>
      </c>
      <c r="C39" s="2"/>
      <c r="E39" s="5"/>
      <c r="F39" s="5"/>
      <c r="G39" s="5"/>
    </row>
    <row r="40" spans="1:7">
      <c r="A40" t="s">
        <v>17</v>
      </c>
      <c r="B40" s="19">
        <f t="shared" si="1"/>
        <v>415.30469757994558</v>
      </c>
      <c r="C40" s="3"/>
      <c r="E40" s="5"/>
      <c r="F40" s="5"/>
      <c r="G40" s="5"/>
    </row>
    <row r="41" spans="1:7">
      <c r="A41" t="s">
        <v>0</v>
      </c>
      <c r="B41" s="19">
        <f t="shared" si="1"/>
        <v>440.00000000000051</v>
      </c>
      <c r="C41" s="2"/>
      <c r="E41" s="5"/>
      <c r="F41" s="5"/>
      <c r="G41" s="5"/>
    </row>
    <row r="42" spans="1:7">
      <c r="A42" t="s">
        <v>8</v>
      </c>
      <c r="B42" s="19">
        <f t="shared" si="1"/>
        <v>466.1637615180905</v>
      </c>
      <c r="C42" s="3"/>
      <c r="E42" s="5"/>
      <c r="F42" s="5"/>
      <c r="G42" s="5"/>
    </row>
    <row r="43" spans="1:7">
      <c r="A43" t="s">
        <v>9</v>
      </c>
      <c r="B43" s="19">
        <f t="shared" si="1"/>
        <v>493.88330125612475</v>
      </c>
      <c r="C43" s="2"/>
      <c r="E43" s="5"/>
      <c r="F43" s="5"/>
      <c r="G43" s="5"/>
    </row>
    <row r="44" spans="1:7">
      <c r="A44" s="12" t="s">
        <v>29</v>
      </c>
      <c r="B44" s="20">
        <f t="shared" si="1"/>
        <v>523.25113060119793</v>
      </c>
      <c r="C44" s="13"/>
      <c r="E44" s="5"/>
      <c r="F44" s="5"/>
      <c r="G44" s="5"/>
    </row>
    <row r="45" spans="1:7">
      <c r="A45" t="s">
        <v>10</v>
      </c>
      <c r="B45" s="19">
        <f t="shared" si="1"/>
        <v>554.36526195374495</v>
      </c>
      <c r="C45" s="3"/>
      <c r="E45" s="5"/>
      <c r="F45" s="5"/>
      <c r="G45" s="5"/>
    </row>
    <row r="46" spans="1:7">
      <c r="A46" t="s">
        <v>11</v>
      </c>
      <c r="B46" s="19">
        <f t="shared" si="1"/>
        <v>587.32953583481594</v>
      </c>
      <c r="C46" s="2"/>
      <c r="E46" s="5"/>
      <c r="F46" s="5"/>
      <c r="G46" s="5"/>
    </row>
    <row r="47" spans="1:7">
      <c r="A47" t="s">
        <v>12</v>
      </c>
      <c r="B47" s="19">
        <f t="shared" si="1"/>
        <v>622.25396744416275</v>
      </c>
      <c r="C47" s="3"/>
      <c r="E47" s="5"/>
      <c r="F47" s="5"/>
      <c r="G47" s="5"/>
    </row>
    <row r="48" spans="1:7">
      <c r="A48" t="s">
        <v>13</v>
      </c>
      <c r="B48" s="19">
        <f t="shared" si="1"/>
        <v>659.25511382574086</v>
      </c>
      <c r="C48" s="2"/>
      <c r="E48" s="5"/>
      <c r="F48" s="5"/>
      <c r="G48" s="5"/>
    </row>
    <row r="49" spans="1:7">
      <c r="A49" t="s">
        <v>14</v>
      </c>
      <c r="B49" s="19">
        <f t="shared" si="1"/>
        <v>698.45646286600891</v>
      </c>
      <c r="C49" s="2"/>
      <c r="E49" s="5"/>
      <c r="F49" s="5"/>
      <c r="G49" s="5"/>
    </row>
    <row r="50" spans="1:7">
      <c r="A50" t="s">
        <v>15</v>
      </c>
      <c r="B50" s="19">
        <f t="shared" si="1"/>
        <v>739.98884542327005</v>
      </c>
      <c r="C50" s="3"/>
      <c r="E50" s="5"/>
      <c r="F50" s="5"/>
      <c r="G50" s="5"/>
    </row>
    <row r="51" spans="1:7">
      <c r="A51" t="s">
        <v>16</v>
      </c>
      <c r="B51" s="19">
        <f t="shared" si="1"/>
        <v>783.9908719634999</v>
      </c>
      <c r="C51" s="2"/>
      <c r="E51" s="5"/>
      <c r="F51" s="5"/>
      <c r="G51" s="5"/>
    </row>
    <row r="52" spans="1:7">
      <c r="A52" t="s">
        <v>17</v>
      </c>
      <c r="B52" s="19">
        <f t="shared" si="1"/>
        <v>830.60939515989173</v>
      </c>
      <c r="C52" s="3"/>
      <c r="E52" s="5"/>
      <c r="F52" s="5"/>
      <c r="G52" s="5"/>
    </row>
    <row r="53" spans="1:7">
      <c r="A53" t="s">
        <v>4</v>
      </c>
      <c r="B53" s="19">
        <f t="shared" si="1"/>
        <v>880.00000000000159</v>
      </c>
      <c r="C53" s="2"/>
      <c r="E53" s="5"/>
      <c r="F53" s="5"/>
      <c r="G53" s="5"/>
    </row>
    <row r="54" spans="1:7">
      <c r="A54" t="s">
        <v>8</v>
      </c>
      <c r="B54" s="19">
        <f t="shared" si="1"/>
        <v>932.32752303618156</v>
      </c>
      <c r="C54" s="3"/>
      <c r="E54" s="5"/>
      <c r="F54" s="5"/>
      <c r="G54" s="5"/>
    </row>
    <row r="55" spans="1:7">
      <c r="A55" t="s">
        <v>9</v>
      </c>
      <c r="B55" s="19">
        <f t="shared" si="1"/>
        <v>987.76660251225007</v>
      </c>
      <c r="C55" s="2"/>
      <c r="E55" s="5"/>
      <c r="F55" s="5"/>
      <c r="G55" s="5"/>
    </row>
    <row r="56" spans="1:7">
      <c r="A56" s="12" t="s">
        <v>30</v>
      </c>
      <c r="B56" s="20">
        <f t="shared" si="1"/>
        <v>1046.5022612023965</v>
      </c>
      <c r="C56" s="13"/>
      <c r="E56" s="5"/>
      <c r="F56" s="5"/>
      <c r="G56" s="5"/>
    </row>
    <row r="57" spans="1:7">
      <c r="A57" t="s">
        <v>10</v>
      </c>
      <c r="B57" s="19">
        <f t="shared" si="1"/>
        <v>1108.7305239074906</v>
      </c>
      <c r="C57" s="3"/>
      <c r="E57" s="5"/>
      <c r="F57" s="5"/>
      <c r="G57" s="5"/>
    </row>
    <row r="58" spans="1:7">
      <c r="A58" t="s">
        <v>11</v>
      </c>
      <c r="B58" s="19">
        <f t="shared" si="1"/>
        <v>1174.6590716696326</v>
      </c>
      <c r="C58" s="2"/>
      <c r="E58" s="5"/>
      <c r="F58" s="5"/>
      <c r="G58" s="5"/>
    </row>
    <row r="59" spans="1:7">
      <c r="A59" t="s">
        <v>12</v>
      </c>
      <c r="B59" s="19">
        <f t="shared" si="1"/>
        <v>1244.5079348883262</v>
      </c>
      <c r="C59" s="3"/>
      <c r="E59" s="5"/>
      <c r="F59" s="5"/>
      <c r="G59" s="5"/>
    </row>
    <row r="60" spans="1:7">
      <c r="A60" t="s">
        <v>13</v>
      </c>
      <c r="B60" s="19">
        <f t="shared" si="1"/>
        <v>1318.5102276514824</v>
      </c>
      <c r="C60" s="2"/>
      <c r="E60" s="5"/>
      <c r="F60" s="5"/>
      <c r="G60" s="5"/>
    </row>
    <row r="61" spans="1:7">
      <c r="A61" t="s">
        <v>14</v>
      </c>
      <c r="B61" s="19">
        <f t="shared" si="1"/>
        <v>1396.9129257320185</v>
      </c>
      <c r="C61" s="2"/>
      <c r="E61" s="5"/>
      <c r="F61" s="5"/>
      <c r="G61" s="5"/>
    </row>
    <row r="62" spans="1:7">
      <c r="A62" t="s">
        <v>15</v>
      </c>
      <c r="B62" s="19">
        <f t="shared" si="1"/>
        <v>1479.9776908465408</v>
      </c>
      <c r="C62" s="3"/>
      <c r="E62" s="5"/>
      <c r="F62" s="5"/>
      <c r="G62" s="5"/>
    </row>
    <row r="63" spans="1:7">
      <c r="A63" t="s">
        <v>16</v>
      </c>
      <c r="B63" s="19">
        <f t="shared" si="1"/>
        <v>1567.9817439270007</v>
      </c>
      <c r="C63" s="2"/>
      <c r="E63" s="5"/>
      <c r="F63" s="5"/>
      <c r="G63" s="5"/>
    </row>
    <row r="64" spans="1:7">
      <c r="A64" t="s">
        <v>17</v>
      </c>
      <c r="B64" s="19">
        <f t="shared" si="1"/>
        <v>1661.2187903197844</v>
      </c>
      <c r="C64" s="3"/>
      <c r="E64" s="5"/>
      <c r="F64" s="5"/>
      <c r="G64" s="5"/>
    </row>
    <row r="65" spans="1:7">
      <c r="A65" t="s">
        <v>5</v>
      </c>
      <c r="B65" s="19">
        <f t="shared" si="1"/>
        <v>1760.0000000000041</v>
      </c>
      <c r="C65" s="2"/>
      <c r="E65" s="5"/>
      <c r="F65" s="5"/>
      <c r="G65" s="5"/>
    </row>
    <row r="66" spans="1:7">
      <c r="A66" t="s">
        <v>8</v>
      </c>
      <c r="B66" s="19">
        <f t="shared" si="1"/>
        <v>1864.655046072364</v>
      </c>
      <c r="C66" s="3"/>
      <c r="E66" s="5"/>
      <c r="F66" s="5"/>
      <c r="G66" s="5"/>
    </row>
    <row r="67" spans="1:7">
      <c r="A67" t="s">
        <v>9</v>
      </c>
      <c r="B67" s="19">
        <f t="shared" si="1"/>
        <v>1975.5332050245011</v>
      </c>
      <c r="C67" s="2"/>
      <c r="E67" s="5"/>
      <c r="F67" s="5"/>
      <c r="G67" s="5"/>
    </row>
    <row r="68" spans="1:7">
      <c r="A68" s="12" t="s">
        <v>31</v>
      </c>
      <c r="B68" s="20">
        <f t="shared" si="1"/>
        <v>2093.004522404794</v>
      </c>
      <c r="C68" s="13"/>
      <c r="E68" s="5"/>
      <c r="F68" s="5"/>
      <c r="G68" s="5"/>
    </row>
    <row r="69" spans="1:7">
      <c r="A69" t="s">
        <v>10</v>
      </c>
      <c r="B69" s="19">
        <f t="shared" si="1"/>
        <v>2217.4610478149821</v>
      </c>
      <c r="C69" s="3"/>
      <c r="E69" s="5"/>
      <c r="F69" s="5"/>
      <c r="G69" s="5"/>
    </row>
    <row r="70" spans="1:7">
      <c r="A70" t="s">
        <v>11</v>
      </c>
      <c r="B70" s="19">
        <f t="shared" si="1"/>
        <v>2349.318143339266</v>
      </c>
      <c r="C70" s="2"/>
      <c r="E70" s="5"/>
      <c r="F70" s="5"/>
      <c r="G70" s="5"/>
    </row>
    <row r="71" spans="1:7">
      <c r="A71" t="s">
        <v>12</v>
      </c>
      <c r="B71" s="19">
        <f t="shared" ref="B71:B89" si="4">B70*2^(1/12)</f>
        <v>2489.0158697766533</v>
      </c>
      <c r="C71" s="3"/>
      <c r="E71" s="5"/>
      <c r="F71" s="5"/>
      <c r="G71" s="5"/>
    </row>
    <row r="72" spans="1:7">
      <c r="A72" t="s">
        <v>13</v>
      </c>
      <c r="B72" s="19">
        <f t="shared" si="4"/>
        <v>2637.0204553029657</v>
      </c>
      <c r="C72" s="2"/>
      <c r="E72" s="5"/>
      <c r="F72" s="5"/>
      <c r="G72" s="5"/>
    </row>
    <row r="73" spans="1:7">
      <c r="A73" t="s">
        <v>14</v>
      </c>
      <c r="B73" s="19">
        <f t="shared" si="4"/>
        <v>2793.8258514640379</v>
      </c>
      <c r="C73" s="2"/>
      <c r="E73" s="5"/>
      <c r="F73" s="5"/>
      <c r="G73" s="5"/>
    </row>
    <row r="74" spans="1:7">
      <c r="A74" t="s">
        <v>15</v>
      </c>
      <c r="B74" s="19">
        <f t="shared" si="4"/>
        <v>2959.9553816930825</v>
      </c>
      <c r="C74" s="3"/>
      <c r="E74" s="5"/>
      <c r="F74" s="5"/>
      <c r="G74" s="5"/>
    </row>
    <row r="75" spans="1:7">
      <c r="A75" t="s">
        <v>16</v>
      </c>
      <c r="B75" s="19">
        <f t="shared" si="4"/>
        <v>3135.9634878540023</v>
      </c>
      <c r="C75" s="2"/>
      <c r="E75" s="5"/>
      <c r="F75" s="5"/>
      <c r="G75" s="5"/>
    </row>
    <row r="76" spans="1:7">
      <c r="A76" t="s">
        <v>17</v>
      </c>
      <c r="B76" s="19">
        <f t="shared" si="4"/>
        <v>3322.4375806395697</v>
      </c>
      <c r="C76" s="3"/>
      <c r="E76" s="5"/>
      <c r="F76" s="5"/>
      <c r="G76" s="5"/>
    </row>
    <row r="77" spans="1:7">
      <c r="A77" t="s">
        <v>6</v>
      </c>
      <c r="B77" s="19">
        <f t="shared" si="4"/>
        <v>3520.0000000000091</v>
      </c>
      <c r="C77" s="2"/>
      <c r="E77" s="5"/>
      <c r="F77" s="5"/>
      <c r="G77" s="5"/>
    </row>
    <row r="78" spans="1:7">
      <c r="A78" t="s">
        <v>8</v>
      </c>
      <c r="B78" s="19">
        <f t="shared" si="4"/>
        <v>3729.310092144729</v>
      </c>
      <c r="C78" s="3"/>
      <c r="E78" s="5"/>
      <c r="F78" s="5"/>
      <c r="G78" s="5"/>
    </row>
    <row r="79" spans="1:7">
      <c r="A79" t="s">
        <v>9</v>
      </c>
      <c r="B79" s="19">
        <f t="shared" si="4"/>
        <v>3951.0664100490035</v>
      </c>
      <c r="C79" s="2"/>
      <c r="E79" s="5"/>
      <c r="F79" s="5"/>
      <c r="G79" s="5"/>
    </row>
    <row r="80" spans="1:7">
      <c r="A80" s="12" t="s">
        <v>27</v>
      </c>
      <c r="B80" s="20">
        <f t="shared" si="4"/>
        <v>4186.0090448095898</v>
      </c>
      <c r="C80" s="13"/>
      <c r="E80" s="5"/>
      <c r="F80" s="5"/>
      <c r="G80" s="5"/>
    </row>
    <row r="81" spans="1:7">
      <c r="A81" t="s">
        <v>10</v>
      </c>
      <c r="B81" s="19">
        <f t="shared" si="4"/>
        <v>4434.922095629966</v>
      </c>
      <c r="C81" s="3"/>
      <c r="E81" s="5"/>
      <c r="F81" s="5"/>
      <c r="G81" s="5"/>
    </row>
    <row r="82" spans="1:7">
      <c r="A82" t="s">
        <v>11</v>
      </c>
      <c r="B82" s="19">
        <f t="shared" si="4"/>
        <v>4698.6362866785339</v>
      </c>
      <c r="C82" s="2"/>
      <c r="E82" s="5"/>
      <c r="F82" s="5"/>
      <c r="G82" s="5"/>
    </row>
    <row r="83" spans="1:7">
      <c r="A83" t="s">
        <v>12</v>
      </c>
      <c r="B83" s="19">
        <f t="shared" si="4"/>
        <v>4978.0317395533084</v>
      </c>
      <c r="C83" s="3"/>
      <c r="E83" s="5"/>
      <c r="F83" s="5"/>
      <c r="G83" s="5"/>
    </row>
    <row r="84" spans="1:7">
      <c r="A84" t="s">
        <v>13</v>
      </c>
      <c r="B84" s="19">
        <f t="shared" si="4"/>
        <v>5274.0409106059342</v>
      </c>
      <c r="C84" s="2"/>
      <c r="E84" s="5"/>
      <c r="F84" s="5"/>
      <c r="G84" s="5"/>
    </row>
    <row r="85" spans="1:7">
      <c r="A85" t="s">
        <v>14</v>
      </c>
      <c r="B85" s="19">
        <f t="shared" si="4"/>
        <v>5587.6517029280785</v>
      </c>
      <c r="C85" s="2"/>
      <c r="E85" s="5"/>
      <c r="F85" s="5"/>
      <c r="G85" s="5"/>
    </row>
    <row r="86" spans="1:7">
      <c r="A86" t="s">
        <v>15</v>
      </c>
      <c r="B86" s="19">
        <f t="shared" si="4"/>
        <v>5919.9107633861677</v>
      </c>
      <c r="C86" s="3"/>
      <c r="E86" s="5"/>
      <c r="F86" s="5"/>
      <c r="G86" s="5"/>
    </row>
    <row r="87" spans="1:7">
      <c r="A87" t="s">
        <v>16</v>
      </c>
      <c r="B87" s="19">
        <f t="shared" si="4"/>
        <v>6271.9269757080074</v>
      </c>
      <c r="C87" s="2"/>
      <c r="E87" s="5"/>
      <c r="F87" s="5"/>
      <c r="G87" s="5"/>
    </row>
    <row r="88" spans="1:7">
      <c r="A88" t="s">
        <v>17</v>
      </c>
      <c r="B88" s="19">
        <f t="shared" si="4"/>
        <v>6644.875161279142</v>
      </c>
      <c r="C88" s="3"/>
      <c r="E88" s="5"/>
      <c r="F88" s="5"/>
      <c r="G88" s="5"/>
    </row>
    <row r="89" spans="1:7">
      <c r="A89" t="s">
        <v>26</v>
      </c>
      <c r="B89" s="19">
        <f t="shared" si="4"/>
        <v>7040.0000000000209</v>
      </c>
      <c r="C89" s="4"/>
      <c r="E89" s="5"/>
      <c r="F89" s="5"/>
      <c r="G89" s="5"/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9"/>
  <sheetViews>
    <sheetView workbookViewId="0">
      <selection activeCell="E6" activeCellId="1" sqref="A6:C18 E6:F18"/>
    </sheetView>
  </sheetViews>
  <sheetFormatPr baseColWidth="10" defaultRowHeight="15"/>
  <cols>
    <col min="1" max="1" width="6.5703125" customWidth="1"/>
    <col min="2" max="2" width="8.5703125" customWidth="1"/>
    <col min="3" max="3" width="9.28515625" customWidth="1"/>
    <col min="4" max="4" width="9.85546875" customWidth="1"/>
    <col min="5" max="5" width="8" customWidth="1"/>
    <col min="6" max="6" width="9.85546875" customWidth="1"/>
    <col min="7" max="7" width="9.5703125" customWidth="1"/>
    <col min="8" max="8" width="12" customWidth="1"/>
  </cols>
  <sheetData>
    <row r="1" spans="1:14" ht="18.75">
      <c r="A1" s="16" t="s">
        <v>46</v>
      </c>
    </row>
    <row r="3" spans="1:14">
      <c r="A3" s="38" t="s">
        <v>82</v>
      </c>
    </row>
    <row r="4" spans="1:14">
      <c r="K4" s="44" t="s">
        <v>75</v>
      </c>
    </row>
    <row r="5" spans="1:14">
      <c r="C5" s="39" t="s">
        <v>72</v>
      </c>
      <c r="G5" s="41" t="s">
        <v>81</v>
      </c>
      <c r="H5" s="40"/>
      <c r="K5" s="44" t="s">
        <v>76</v>
      </c>
    </row>
    <row r="6" spans="1:14">
      <c r="A6" s="41" t="s">
        <v>71</v>
      </c>
      <c r="B6" s="41" t="s">
        <v>80</v>
      </c>
      <c r="C6" s="43" t="s">
        <v>72</v>
      </c>
      <c r="D6" s="41" t="s">
        <v>73</v>
      </c>
      <c r="E6" s="41" t="s">
        <v>7</v>
      </c>
      <c r="F6" s="41" t="s">
        <v>74</v>
      </c>
      <c r="G6" s="45" t="s">
        <v>1</v>
      </c>
      <c r="H6" s="41" t="s">
        <v>74</v>
      </c>
      <c r="I6" s="38" t="s">
        <v>85</v>
      </c>
      <c r="K6" s="41" t="s">
        <v>7</v>
      </c>
      <c r="L6" s="41" t="s">
        <v>74</v>
      </c>
      <c r="M6" s="8" t="s">
        <v>84</v>
      </c>
    </row>
    <row r="7" spans="1:14">
      <c r="A7" s="46" t="s">
        <v>57</v>
      </c>
      <c r="B7" s="46">
        <v>1129</v>
      </c>
      <c r="C7" s="46"/>
      <c r="D7" s="47">
        <f>D17*4</f>
        <v>1108.7305239074881</v>
      </c>
      <c r="E7" s="46" t="s">
        <v>59</v>
      </c>
      <c r="F7" s="47">
        <f t="shared" ref="F7:F18" si="0">1200*LN(B7/D7)/LN(2)</f>
        <v>31.364068698009849</v>
      </c>
      <c r="G7" s="47">
        <f t="shared" ref="G7:G16" si="1">G8*2^0.2</f>
        <v>1120.0000000000007</v>
      </c>
      <c r="H7" s="47">
        <f t="shared" ref="H7:H17" si="2">1200*LN(G7/D7)/LN(2)</f>
        <v>17.507964104369588</v>
      </c>
      <c r="I7" s="47">
        <f>1200*LN(G7/B7)/LN(2)</f>
        <v>-13.856104593640302</v>
      </c>
      <c r="K7" s="46" t="s">
        <v>59</v>
      </c>
      <c r="L7" s="47">
        <v>31.364068698009849</v>
      </c>
      <c r="M7" s="47">
        <v>17.507964104369588</v>
      </c>
    </row>
    <row r="8" spans="1:14">
      <c r="A8" s="41" t="s">
        <v>58</v>
      </c>
      <c r="B8" s="41">
        <v>968</v>
      </c>
      <c r="C8" s="42">
        <f>1200*LN(B7/B8)/LN(2)</f>
        <v>266.35984019808774</v>
      </c>
      <c r="D8" s="42">
        <f t="shared" ref="D8:D10" si="3">D13*2</f>
        <v>987.76660251224882</v>
      </c>
      <c r="E8" s="41" t="s">
        <v>78</v>
      </c>
      <c r="F8" s="42">
        <f t="shared" si="0"/>
        <v>-34.99577150007913</v>
      </c>
      <c r="G8" s="42">
        <f t="shared" si="1"/>
        <v>975.01663089165959</v>
      </c>
      <c r="H8" s="42">
        <f t="shared" si="2"/>
        <v>-22.492035895631798</v>
      </c>
      <c r="I8" s="42">
        <f t="shared" ref="I8:I18" si="4">1200*LN(G8/B8)/LN(2)</f>
        <v>12.503735604447417</v>
      </c>
      <c r="K8" s="41" t="s">
        <v>60</v>
      </c>
      <c r="L8" s="42">
        <v>65.004228499919805</v>
      </c>
      <c r="M8" s="42">
        <v>77.5</v>
      </c>
      <c r="N8" s="38"/>
    </row>
    <row r="9" spans="1:14">
      <c r="A9" s="41" t="s">
        <v>52</v>
      </c>
      <c r="B9" s="41">
        <v>847</v>
      </c>
      <c r="C9" s="42">
        <f t="shared" ref="C9:C18" si="5">1200*LN(B8/B9)/LN(2)</f>
        <v>231.17409353087498</v>
      </c>
      <c r="D9" s="42">
        <f t="shared" si="3"/>
        <v>830.60939515989116</v>
      </c>
      <c r="E9" s="41" t="s">
        <v>61</v>
      </c>
      <c r="F9" s="42">
        <f t="shared" si="0"/>
        <v>33.830134969045126</v>
      </c>
      <c r="G9" s="42">
        <f t="shared" si="1"/>
        <v>848.80127724582337</v>
      </c>
      <c r="H9" s="42">
        <f t="shared" si="2"/>
        <v>37.507964104367467</v>
      </c>
      <c r="I9" s="42">
        <f t="shared" si="4"/>
        <v>3.6778291353222281</v>
      </c>
      <c r="K9" s="41" t="s">
        <v>61</v>
      </c>
      <c r="L9" s="42">
        <v>33.830134969045126</v>
      </c>
      <c r="M9" s="42">
        <v>37.507964104367467</v>
      </c>
      <c r="N9" s="38"/>
    </row>
    <row r="10" spans="1:14">
      <c r="A10" s="41" t="s">
        <v>53</v>
      </c>
      <c r="B10" s="41">
        <v>733</v>
      </c>
      <c r="C10" s="42">
        <f t="shared" si="5"/>
        <v>250.25852543806405</v>
      </c>
      <c r="D10" s="42">
        <f t="shared" si="3"/>
        <v>739.98884542326959</v>
      </c>
      <c r="E10" s="41" t="s">
        <v>62</v>
      </c>
      <c r="F10" s="42">
        <f t="shared" si="0"/>
        <v>-16.42839046901905</v>
      </c>
      <c r="G10" s="42">
        <f t="shared" si="1"/>
        <v>738.92443003282108</v>
      </c>
      <c r="H10" s="42">
        <f t="shared" si="2"/>
        <v>-2.4920358956328688</v>
      </c>
      <c r="I10" s="42">
        <f t="shared" si="4"/>
        <v>13.936354573386037</v>
      </c>
      <c r="K10" s="41" t="s">
        <v>62</v>
      </c>
      <c r="L10" s="42">
        <v>-16.42839046901905</v>
      </c>
      <c r="M10" s="42">
        <v>-2.4920358956328688</v>
      </c>
      <c r="N10" s="38"/>
    </row>
    <row r="11" spans="1:14">
      <c r="A11" s="41" t="s">
        <v>54</v>
      </c>
      <c r="B11" s="41">
        <v>646</v>
      </c>
      <c r="C11" s="42">
        <f t="shared" si="5"/>
        <v>218.7348401278644</v>
      </c>
      <c r="D11" s="42">
        <v>659.25511382574086</v>
      </c>
      <c r="E11" s="41" t="s">
        <v>79</v>
      </c>
      <c r="F11" s="42">
        <f t="shared" si="0"/>
        <v>-35.163230596884283</v>
      </c>
      <c r="G11" s="42">
        <f t="shared" si="1"/>
        <v>643.27107879833977</v>
      </c>
      <c r="H11" s="42">
        <f t="shared" si="2"/>
        <v>-42.49203589563394</v>
      </c>
      <c r="I11" s="42">
        <f t="shared" si="4"/>
        <v>-7.328805298749705</v>
      </c>
      <c r="K11" s="41" t="s">
        <v>63</v>
      </c>
      <c r="L11" s="42">
        <v>64.836769403116733</v>
      </c>
      <c r="M11" s="42">
        <v>35.159999999999997</v>
      </c>
      <c r="N11" s="38"/>
    </row>
    <row r="12" spans="1:14">
      <c r="A12" s="46" t="s">
        <v>55</v>
      </c>
      <c r="B12" s="46">
        <v>561</v>
      </c>
      <c r="C12" s="47">
        <f t="shared" si="5"/>
        <v>244.24007290215857</v>
      </c>
      <c r="D12" s="47">
        <f>D17*2</f>
        <v>554.36526195374404</v>
      </c>
      <c r="E12" s="46" t="s">
        <v>64</v>
      </c>
      <c r="F12" s="47">
        <f t="shared" si="0"/>
        <v>20.596696500960356</v>
      </c>
      <c r="G12" s="47">
        <f t="shared" si="1"/>
        <v>560.00000000000011</v>
      </c>
      <c r="H12" s="47">
        <f t="shared" si="2"/>
        <v>17.507964104369208</v>
      </c>
      <c r="I12" s="47">
        <f t="shared" si="4"/>
        <v>-3.08873239659136</v>
      </c>
      <c r="K12" s="46" t="s">
        <v>64</v>
      </c>
      <c r="L12" s="47">
        <v>20.596696500960356</v>
      </c>
      <c r="M12" s="47">
        <v>17.507964104369208</v>
      </c>
      <c r="N12" s="38"/>
    </row>
    <row r="13" spans="1:14">
      <c r="A13" s="41" t="s">
        <v>56</v>
      </c>
      <c r="B13" s="41">
        <v>483</v>
      </c>
      <c r="C13" s="42">
        <f t="shared" si="5"/>
        <v>259.1730981276238</v>
      </c>
      <c r="D13" s="42">
        <f>D18*2</f>
        <v>493.88330125612441</v>
      </c>
      <c r="E13" s="41" t="s">
        <v>77</v>
      </c>
      <c r="F13" s="42">
        <f t="shared" si="0"/>
        <v>-38.576401626664875</v>
      </c>
      <c r="G13" s="42">
        <f t="shared" si="1"/>
        <v>487.50831544582962</v>
      </c>
      <c r="H13" s="42">
        <f t="shared" si="2"/>
        <v>-22.492035895632384</v>
      </c>
      <c r="I13" s="42">
        <f t="shared" si="4"/>
        <v>16.084365731032275</v>
      </c>
      <c r="K13" s="41" t="s">
        <v>65</v>
      </c>
      <c r="L13" s="42">
        <v>61.423598373333952</v>
      </c>
      <c r="M13" s="42">
        <v>77.5</v>
      </c>
      <c r="N13" s="38"/>
    </row>
    <row r="14" spans="1:14">
      <c r="A14" s="41" t="s">
        <v>47</v>
      </c>
      <c r="B14" s="41">
        <v>420</v>
      </c>
      <c r="C14" s="42">
        <f t="shared" si="5"/>
        <v>241.96063340358052</v>
      </c>
      <c r="D14" s="42">
        <v>415.30469757994558</v>
      </c>
      <c r="E14" s="41" t="s">
        <v>66</v>
      </c>
      <c r="F14" s="42">
        <f t="shared" si="0"/>
        <v>19.462964969753695</v>
      </c>
      <c r="G14" s="42">
        <f t="shared" si="1"/>
        <v>424.40063862291152</v>
      </c>
      <c r="H14" s="42">
        <f t="shared" si="2"/>
        <v>37.507964104366714</v>
      </c>
      <c r="I14" s="42">
        <f t="shared" si="4"/>
        <v>18.044999134612983</v>
      </c>
      <c r="K14" s="41" t="s">
        <v>66</v>
      </c>
      <c r="L14" s="42">
        <v>19.462964969753695</v>
      </c>
      <c r="M14" s="42">
        <v>37.507964104366714</v>
      </c>
      <c r="N14" s="38"/>
    </row>
    <row r="15" spans="1:14">
      <c r="A15" s="41" t="s">
        <v>48</v>
      </c>
      <c r="B15" s="41">
        <v>366</v>
      </c>
      <c r="C15" s="42">
        <f t="shared" si="5"/>
        <v>238.25481525849614</v>
      </c>
      <c r="D15" s="42">
        <v>369.9944227116348</v>
      </c>
      <c r="E15" s="41" t="s">
        <v>67</v>
      </c>
      <c r="F15" s="42">
        <f t="shared" si="0"/>
        <v>-18.791850288742435</v>
      </c>
      <c r="G15" s="42">
        <f t="shared" si="1"/>
        <v>369.46221501641043</v>
      </c>
      <c r="H15" s="42">
        <f t="shared" si="2"/>
        <v>-2.4920358956334461</v>
      </c>
      <c r="I15" s="42">
        <f t="shared" si="4"/>
        <v>16.29981439310907</v>
      </c>
      <c r="K15" s="41" t="s">
        <v>67</v>
      </c>
      <c r="L15" s="42">
        <v>-18.791850288742435</v>
      </c>
      <c r="M15" s="42">
        <v>-2.4920358956334461</v>
      </c>
      <c r="N15" s="38"/>
    </row>
    <row r="16" spans="1:14">
      <c r="A16" s="41" t="s">
        <v>49</v>
      </c>
      <c r="B16" s="41">
        <v>320</v>
      </c>
      <c r="C16" s="42">
        <f t="shared" si="5"/>
        <v>232.52609207601623</v>
      </c>
      <c r="D16" s="42">
        <v>311.12698372208121</v>
      </c>
      <c r="E16" s="41" t="s">
        <v>68</v>
      </c>
      <c r="F16" s="42">
        <f t="shared" si="0"/>
        <v>48.682057635241542</v>
      </c>
      <c r="G16" s="42">
        <f t="shared" si="1"/>
        <v>321.63553939916983</v>
      </c>
      <c r="H16" s="42">
        <f t="shared" si="2"/>
        <v>57.507964104366906</v>
      </c>
      <c r="I16" s="42">
        <f t="shared" si="4"/>
        <v>8.8259064691249236</v>
      </c>
      <c r="K16" s="41" t="s">
        <v>68</v>
      </c>
      <c r="L16" s="42">
        <v>48.682057635241542</v>
      </c>
      <c r="M16" s="42">
        <v>57.507964104366906</v>
      </c>
      <c r="N16" s="38"/>
    </row>
    <row r="17" spans="1:14">
      <c r="A17" s="46" t="s">
        <v>50</v>
      </c>
      <c r="B17" s="46">
        <v>280</v>
      </c>
      <c r="C17" s="47">
        <f t="shared" si="5"/>
        <v>231.17409353087498</v>
      </c>
      <c r="D17" s="47">
        <v>277.18263097687202</v>
      </c>
      <c r="E17" s="46" t="s">
        <v>69</v>
      </c>
      <c r="F17" s="47">
        <f t="shared" si="0"/>
        <v>17.507964104368824</v>
      </c>
      <c r="G17" s="47">
        <v>280</v>
      </c>
      <c r="H17" s="47">
        <f t="shared" si="2"/>
        <v>17.507964104368824</v>
      </c>
      <c r="I17" s="47">
        <f t="shared" si="4"/>
        <v>0</v>
      </c>
      <c r="K17" s="46" t="s">
        <v>69</v>
      </c>
      <c r="L17" s="47">
        <v>17.507964104368824</v>
      </c>
      <c r="M17" s="47">
        <v>17.507964104368824</v>
      </c>
      <c r="N17" s="38"/>
    </row>
    <row r="18" spans="1:14">
      <c r="A18" s="41" t="s">
        <v>51</v>
      </c>
      <c r="B18" s="41">
        <v>241</v>
      </c>
      <c r="C18" s="42">
        <f t="shared" si="5"/>
        <v>259.67241685800593</v>
      </c>
      <c r="D18" s="42">
        <v>246.94165062806221</v>
      </c>
      <c r="E18" s="41" t="s">
        <v>70</v>
      </c>
      <c r="F18" s="42">
        <f t="shared" si="0"/>
        <v>-42.164452753638656</v>
      </c>
      <c r="G18" s="42">
        <f>G17/(2^0.2)</f>
        <v>243.75415772291473</v>
      </c>
      <c r="H18" s="42">
        <f>1200*LN(G18/D18)/LN(2)</f>
        <v>-22.492035895632966</v>
      </c>
      <c r="I18" s="42">
        <f t="shared" si="4"/>
        <v>19.672416858005633</v>
      </c>
      <c r="K18" s="41" t="s">
        <v>83</v>
      </c>
      <c r="L18" s="42">
        <v>57.8</v>
      </c>
      <c r="M18" s="42">
        <v>77.5</v>
      </c>
      <c r="N18" s="38"/>
    </row>
    <row r="19" spans="1:14">
      <c r="H19" s="40"/>
    </row>
  </sheetData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B6" sqref="B6:G14"/>
    </sheetView>
  </sheetViews>
  <sheetFormatPr baseColWidth="10" defaultRowHeight="15"/>
  <cols>
    <col min="2" max="2" width="4.140625" customWidth="1"/>
    <col min="3" max="3" width="8.5703125" customWidth="1"/>
    <col min="5" max="5" width="6.85546875" customWidth="1"/>
    <col min="6" max="6" width="7.7109375" customWidth="1"/>
    <col min="7" max="7" width="10.5703125" customWidth="1"/>
    <col min="8" max="8" width="10" customWidth="1"/>
    <col min="9" max="9" width="10.7109375" customWidth="1"/>
  </cols>
  <sheetData>
    <row r="1" spans="1:9" ht="15.75">
      <c r="A1" s="48" t="s">
        <v>86</v>
      </c>
    </row>
    <row r="3" spans="1:9">
      <c r="A3" s="38" t="s">
        <v>87</v>
      </c>
    </row>
    <row r="6" spans="1:9">
      <c r="A6" s="39" t="s">
        <v>7</v>
      </c>
      <c r="B6" s="41"/>
      <c r="C6" s="41" t="s">
        <v>129</v>
      </c>
      <c r="D6" s="41" t="s">
        <v>72</v>
      </c>
      <c r="E6" s="41" t="s">
        <v>7</v>
      </c>
      <c r="F6" s="41" t="s">
        <v>73</v>
      </c>
      <c r="G6" s="41" t="s">
        <v>74</v>
      </c>
      <c r="H6" s="41" t="s">
        <v>130</v>
      </c>
      <c r="I6" s="41" t="s">
        <v>131</v>
      </c>
    </row>
    <row r="7" spans="1:9">
      <c r="A7" s="39" t="s">
        <v>88</v>
      </c>
      <c r="B7" s="41">
        <v>1</v>
      </c>
      <c r="C7" s="41">
        <v>526</v>
      </c>
      <c r="D7" s="41"/>
      <c r="E7" s="41" t="s">
        <v>88</v>
      </c>
      <c r="F7" s="50">
        <v>523.25113060119793</v>
      </c>
      <c r="G7" s="42">
        <f>1200*LN(C7/F7)/LN(2)</f>
        <v>9.071130921168999</v>
      </c>
      <c r="H7" s="42">
        <v>526</v>
      </c>
      <c r="I7" s="42">
        <f>1200*LN(C7/H7)/LN(2)</f>
        <v>0</v>
      </c>
    </row>
    <row r="8" spans="1:9">
      <c r="A8" s="39" t="s">
        <v>89</v>
      </c>
      <c r="B8" s="41">
        <v>2</v>
      </c>
      <c r="C8" s="41">
        <v>443</v>
      </c>
      <c r="D8" s="42">
        <f>1200*LN(C7/C8)/LN(2)</f>
        <v>297.30732088474105</v>
      </c>
      <c r="E8" s="41" t="s">
        <v>89</v>
      </c>
      <c r="F8" s="50">
        <v>440</v>
      </c>
      <c r="G8" s="42">
        <f t="shared" ref="G8:G14" si="0">1200*LN(C8/F8)/LN(2)</f>
        <v>11.763810036430472</v>
      </c>
      <c r="H8" s="42">
        <f>H7/2^(0.2)</f>
        <v>457.90959629376124</v>
      </c>
      <c r="I8" s="42">
        <f t="shared" ref="I8:I14" si="1">1200*LN(C8/H8)/LN(2)</f>
        <v>-57.307320884740598</v>
      </c>
    </row>
    <row r="9" spans="1:9">
      <c r="A9" s="39" t="s">
        <v>90</v>
      </c>
      <c r="B9" s="41">
        <v>3</v>
      </c>
      <c r="C9" s="41">
        <v>384</v>
      </c>
      <c r="D9" s="42">
        <f t="shared" ref="D9:D14" si="2">1200*LN(C8/C9)/LN(2)</f>
        <v>247.44046540063445</v>
      </c>
      <c r="E9" s="41" t="s">
        <v>90</v>
      </c>
      <c r="F9" s="50">
        <v>391.99543598174972</v>
      </c>
      <c r="G9" s="42">
        <f t="shared" si="0"/>
        <v>-35.676655364206077</v>
      </c>
      <c r="H9" s="42">
        <f t="shared" ref="H9:H14" si="3">H8/2^(0.2)</f>
        <v>398.63345699223464</v>
      </c>
      <c r="I9" s="42">
        <f t="shared" si="1"/>
        <v>-64.747786285375085</v>
      </c>
    </row>
    <row r="10" spans="1:9">
      <c r="A10" s="39" t="s">
        <v>95</v>
      </c>
      <c r="B10" s="41">
        <v>4</v>
      </c>
      <c r="C10" s="41">
        <v>329</v>
      </c>
      <c r="D10" s="42">
        <f t="shared" si="2"/>
        <v>267.62247238309754</v>
      </c>
      <c r="E10" s="41" t="s">
        <v>95</v>
      </c>
      <c r="F10" s="50">
        <v>329.62755691287026</v>
      </c>
      <c r="G10" s="42">
        <f t="shared" si="0"/>
        <v>-3.299127747303519</v>
      </c>
      <c r="H10" s="42">
        <f t="shared" si="3"/>
        <v>347.03058053327112</v>
      </c>
      <c r="I10" s="42">
        <f t="shared" si="1"/>
        <v>-92.370258668472673</v>
      </c>
    </row>
    <row r="11" spans="1:9">
      <c r="A11" s="39" t="s">
        <v>91</v>
      </c>
      <c r="B11" s="41">
        <v>5</v>
      </c>
      <c r="C11" s="41">
        <v>290</v>
      </c>
      <c r="D11" s="42">
        <f t="shared" si="2"/>
        <v>218.4416204643683</v>
      </c>
      <c r="E11" s="41" t="s">
        <v>91</v>
      </c>
      <c r="F11" s="50">
        <v>293.6647679174078</v>
      </c>
      <c r="G11" s="42">
        <f t="shared" si="0"/>
        <v>-21.740748211671502</v>
      </c>
      <c r="H11" s="42">
        <f t="shared" si="3"/>
        <v>302.10766736422011</v>
      </c>
      <c r="I11" s="42">
        <f t="shared" si="1"/>
        <v>-70.811879132840787</v>
      </c>
    </row>
    <row r="12" spans="1:9">
      <c r="A12" s="39" t="s">
        <v>92</v>
      </c>
      <c r="B12" s="41">
        <v>6</v>
      </c>
      <c r="C12" s="41">
        <v>254</v>
      </c>
      <c r="D12" s="42">
        <f t="shared" si="2"/>
        <v>229.46928389132231</v>
      </c>
      <c r="E12" s="41" t="s">
        <v>92</v>
      </c>
      <c r="F12" s="50">
        <v>261.62556530059879</v>
      </c>
      <c r="G12" s="42">
        <f t="shared" si="0"/>
        <v>-51.210032102993495</v>
      </c>
      <c r="H12" s="42">
        <f t="shared" si="3"/>
        <v>262.99999999999989</v>
      </c>
      <c r="I12" s="42">
        <f t="shared" si="1"/>
        <v>-60.281163024163128</v>
      </c>
    </row>
    <row r="13" spans="1:9">
      <c r="A13" s="39" t="s">
        <v>93</v>
      </c>
      <c r="B13" s="41">
        <v>7</v>
      </c>
      <c r="C13" s="41">
        <f>443/2</f>
        <v>221.5</v>
      </c>
      <c r="D13" s="42">
        <f t="shared" si="2"/>
        <v>237.02615786057714</v>
      </c>
      <c r="E13" s="41" t="s">
        <v>93</v>
      </c>
      <c r="F13" s="50">
        <v>220.00000000000011</v>
      </c>
      <c r="G13" s="42">
        <f t="shared" si="0"/>
        <v>11.763810036429708</v>
      </c>
      <c r="H13" s="42">
        <f t="shared" si="3"/>
        <v>228.95479814688053</v>
      </c>
      <c r="I13" s="42">
        <f t="shared" si="1"/>
        <v>-57.307320884739994</v>
      </c>
    </row>
    <row r="14" spans="1:9">
      <c r="A14" s="39" t="s">
        <v>94</v>
      </c>
      <c r="B14" s="41">
        <v>8</v>
      </c>
      <c r="C14" s="41">
        <v>190</v>
      </c>
      <c r="D14" s="42">
        <f t="shared" si="2"/>
        <v>265.56873626888449</v>
      </c>
      <c r="E14" s="41" t="s">
        <v>94</v>
      </c>
      <c r="F14" s="50">
        <f>F10/2</f>
        <v>164.81377845643513</v>
      </c>
      <c r="G14" s="42">
        <f t="shared" si="0"/>
        <v>246.1950737675441</v>
      </c>
      <c r="H14" s="42">
        <f t="shared" si="3"/>
        <v>199.31672849611724</v>
      </c>
      <c r="I14" s="42">
        <f t="shared" si="1"/>
        <v>-82.876057153624387</v>
      </c>
    </row>
    <row r="15" spans="1:9">
      <c r="B15" s="38"/>
    </row>
    <row r="16" spans="1:9">
      <c r="B16" s="51"/>
      <c r="C16" s="51"/>
    </row>
    <row r="17" spans="2:11">
      <c r="B17" s="51"/>
      <c r="C17" s="52"/>
    </row>
    <row r="18" spans="2:11">
      <c r="B18" s="51"/>
      <c r="C18" s="52"/>
    </row>
    <row r="19" spans="2:11">
      <c r="B19" s="51"/>
      <c r="C19" s="51"/>
    </row>
    <row r="20" spans="2:11">
      <c r="B20" s="51"/>
      <c r="C20" s="52"/>
    </row>
    <row r="21" spans="2:11">
      <c r="B21" s="51"/>
      <c r="C21" s="51"/>
      <c r="G21" s="38" t="s">
        <v>96</v>
      </c>
    </row>
    <row r="22" spans="2:11">
      <c r="B22" s="51"/>
      <c r="C22" s="52"/>
    </row>
    <row r="23" spans="2:11">
      <c r="B23" s="51"/>
      <c r="C23" s="51"/>
      <c r="G23" s="43"/>
      <c r="H23" s="43" t="s">
        <v>98</v>
      </c>
      <c r="I23" s="43" t="s">
        <v>99</v>
      </c>
      <c r="J23" s="43" t="s">
        <v>100</v>
      </c>
      <c r="K23" s="43"/>
    </row>
    <row r="24" spans="2:11">
      <c r="B24" s="51"/>
      <c r="C24" s="52"/>
      <c r="G24" s="43" t="s">
        <v>97</v>
      </c>
      <c r="H24" s="43" t="s">
        <v>101</v>
      </c>
      <c r="I24" s="43" t="s">
        <v>104</v>
      </c>
      <c r="J24" s="49" t="s">
        <v>103</v>
      </c>
      <c r="K24" s="43" t="s">
        <v>102</v>
      </c>
    </row>
    <row r="25" spans="2:11">
      <c r="B25" s="51"/>
      <c r="C25" s="52"/>
      <c r="G25" s="43" t="s">
        <v>109</v>
      </c>
      <c r="H25" s="43" t="s">
        <v>105</v>
      </c>
      <c r="I25" s="43" t="s">
        <v>106</v>
      </c>
      <c r="J25" s="43" t="s">
        <v>107</v>
      </c>
      <c r="K25" s="43" t="s">
        <v>108</v>
      </c>
    </row>
    <row r="26" spans="2:11">
      <c r="B26" s="51"/>
      <c r="C26" s="51"/>
      <c r="G26" s="43" t="s">
        <v>124</v>
      </c>
      <c r="H26" s="43" t="s">
        <v>110</v>
      </c>
      <c r="I26" s="43" t="s">
        <v>104</v>
      </c>
      <c r="J26" s="43" t="s">
        <v>111</v>
      </c>
      <c r="K26" s="43" t="s">
        <v>112</v>
      </c>
    </row>
    <row r="27" spans="2:11">
      <c r="B27" s="51"/>
      <c r="C27" s="52"/>
      <c r="G27" s="43" t="s">
        <v>113</v>
      </c>
      <c r="H27" s="43" t="s">
        <v>114</v>
      </c>
      <c r="I27" s="43" t="s">
        <v>115</v>
      </c>
      <c r="J27" s="43" t="s">
        <v>116</v>
      </c>
      <c r="K27" s="43" t="s">
        <v>117</v>
      </c>
    </row>
    <row r="28" spans="2:11">
      <c r="B28" s="51"/>
      <c r="C28" s="52"/>
      <c r="G28" s="43" t="s">
        <v>118</v>
      </c>
      <c r="H28" s="43" t="s">
        <v>119</v>
      </c>
      <c r="I28" s="43" t="s">
        <v>120</v>
      </c>
      <c r="J28" s="43" t="s">
        <v>121</v>
      </c>
      <c r="K28" s="43" t="s">
        <v>122</v>
      </c>
    </row>
    <row r="29" spans="2:11">
      <c r="B29" s="51"/>
      <c r="C29" s="52"/>
      <c r="G29" s="43" t="s">
        <v>123</v>
      </c>
      <c r="H29" s="43" t="s">
        <v>125</v>
      </c>
      <c r="I29" s="43" t="s">
        <v>106</v>
      </c>
      <c r="J29" s="43" t="s">
        <v>126</v>
      </c>
      <c r="K29" s="43" t="s">
        <v>127</v>
      </c>
    </row>
    <row r="30" spans="2:11">
      <c r="B30" s="51"/>
      <c r="C30" s="52"/>
    </row>
    <row r="31" spans="2:11">
      <c r="B31" s="51"/>
      <c r="C31" s="51"/>
    </row>
    <row r="32" spans="2:11">
      <c r="B32" s="51"/>
      <c r="C32" s="52"/>
    </row>
  </sheetData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F7" activeCellId="1" sqref="A7:D19 F7:F19"/>
    </sheetView>
  </sheetViews>
  <sheetFormatPr baseColWidth="10" defaultRowHeight="15"/>
  <cols>
    <col min="1" max="1" width="5.5703125" customWidth="1"/>
    <col min="2" max="2" width="7.140625" customWidth="1"/>
    <col min="3" max="3" width="5.7109375" customWidth="1"/>
    <col min="4" max="4" width="10.28515625" customWidth="1"/>
    <col min="5" max="5" width="11.140625" customWidth="1"/>
  </cols>
  <sheetData>
    <row r="1" spans="1:12">
      <c r="A1" s="60" t="s">
        <v>146</v>
      </c>
    </row>
    <row r="3" spans="1:12">
      <c r="A3" s="38" t="s">
        <v>147</v>
      </c>
      <c r="H3" s="44"/>
    </row>
    <row r="4" spans="1:12">
      <c r="A4" s="39"/>
      <c r="B4" s="39"/>
      <c r="C4" s="38"/>
      <c r="D4" s="38"/>
      <c r="E4" s="38"/>
      <c r="H4" s="44" t="s">
        <v>152</v>
      </c>
    </row>
    <row r="5" spans="1:12">
      <c r="A5" s="39"/>
      <c r="B5" s="39"/>
      <c r="G5" s="56"/>
      <c r="H5" s="41" t="s">
        <v>71</v>
      </c>
      <c r="I5" s="41" t="s">
        <v>80</v>
      </c>
      <c r="J5" s="41" t="s">
        <v>7</v>
      </c>
      <c r="K5" s="41" t="s">
        <v>74</v>
      </c>
      <c r="L5" s="43" t="s">
        <v>72</v>
      </c>
    </row>
    <row r="6" spans="1:12">
      <c r="A6" s="39"/>
      <c r="B6" s="39"/>
      <c r="G6" s="55"/>
      <c r="H6" s="8" t="s">
        <v>57</v>
      </c>
      <c r="I6" s="8">
        <v>1129</v>
      </c>
      <c r="J6" s="8" t="s">
        <v>59</v>
      </c>
      <c r="K6" s="50">
        <v>31.364068698009849</v>
      </c>
      <c r="L6" s="8"/>
    </row>
    <row r="7" spans="1:12">
      <c r="A7" s="41"/>
      <c r="B7" s="41" t="s">
        <v>1</v>
      </c>
      <c r="C7" s="41" t="s">
        <v>153</v>
      </c>
      <c r="D7" s="41" t="s">
        <v>154</v>
      </c>
      <c r="E7" s="41" t="s">
        <v>73</v>
      </c>
      <c r="F7" s="41" t="s">
        <v>74</v>
      </c>
      <c r="G7" s="55"/>
      <c r="H7" s="8" t="s">
        <v>58</v>
      </c>
      <c r="I7" s="8">
        <v>968</v>
      </c>
      <c r="J7" s="8" t="s">
        <v>78</v>
      </c>
      <c r="K7" s="50">
        <v>-34.99577150007913</v>
      </c>
      <c r="L7" s="50">
        <v>266.35984019808774</v>
      </c>
    </row>
    <row r="8" spans="1:12">
      <c r="A8" s="41">
        <v>2</v>
      </c>
      <c r="B8" s="41">
        <v>816</v>
      </c>
      <c r="C8" s="41" t="s">
        <v>150</v>
      </c>
      <c r="D8" s="43"/>
      <c r="E8" s="42">
        <f t="shared" ref="E8:E9" si="0">E13*2</f>
        <v>830.60939515989196</v>
      </c>
      <c r="F8" s="42">
        <f>1200*LN(B8/E8)/LN(2)</f>
        <v>-30.721245863800227</v>
      </c>
      <c r="G8" s="55"/>
      <c r="H8" s="8" t="s">
        <v>52</v>
      </c>
      <c r="I8" s="8">
        <v>847</v>
      </c>
      <c r="J8" s="8" t="s">
        <v>61</v>
      </c>
      <c r="K8" s="50">
        <v>33.830134969045126</v>
      </c>
      <c r="L8" s="50">
        <v>231.17409353087498</v>
      </c>
    </row>
    <row r="9" spans="1:12">
      <c r="A9" s="41">
        <v>1</v>
      </c>
      <c r="B9" s="41">
        <v>722</v>
      </c>
      <c r="C9" s="41" t="s">
        <v>151</v>
      </c>
      <c r="D9" s="42">
        <f>1200*LN(B8/B9)/LN(2)</f>
        <v>211.88437810118967</v>
      </c>
      <c r="E9" s="42">
        <f t="shared" si="0"/>
        <v>739.98884542326959</v>
      </c>
      <c r="F9" s="42">
        <f t="shared" ref="F9:F19" si="1">1200*LN(B9/E9)/LN(2)</f>
        <v>-42.605623964988155</v>
      </c>
      <c r="G9" s="55"/>
      <c r="H9" s="8" t="s">
        <v>53</v>
      </c>
      <c r="I9" s="8">
        <v>733</v>
      </c>
      <c r="J9" s="8" t="s">
        <v>62</v>
      </c>
      <c r="K9" s="50">
        <v>-16.42839046901905</v>
      </c>
      <c r="L9" s="50">
        <v>250.25852543806405</v>
      </c>
    </row>
    <row r="10" spans="1:12">
      <c r="A10" s="41">
        <v>5</v>
      </c>
      <c r="B10" s="8">
        <v>624</v>
      </c>
      <c r="C10" s="58" t="s">
        <v>148</v>
      </c>
      <c r="D10" s="42">
        <f t="shared" ref="D10:D19" si="2">1200*LN(B9/B10)/LN(2)</f>
        <v>252.54336962990732</v>
      </c>
      <c r="E10" s="42">
        <v>622.26</v>
      </c>
      <c r="F10" s="42">
        <f t="shared" si="1"/>
        <v>4.8342227187146314</v>
      </c>
      <c r="G10" s="55"/>
      <c r="H10" s="8" t="s">
        <v>54</v>
      </c>
      <c r="I10" s="8">
        <v>646</v>
      </c>
      <c r="J10" s="8" t="s">
        <v>79</v>
      </c>
      <c r="K10" s="50">
        <v>-35.163230596884283</v>
      </c>
      <c r="L10" s="50">
        <v>218.7348401278644</v>
      </c>
    </row>
    <row r="11" spans="1:12">
      <c r="A11" s="41">
        <v>4</v>
      </c>
      <c r="B11" s="41">
        <v>534</v>
      </c>
      <c r="C11" s="58" t="s">
        <v>149</v>
      </c>
      <c r="D11" s="42">
        <f t="shared" si="2"/>
        <v>269.64754460963326</v>
      </c>
      <c r="E11" s="50">
        <f>E16*2</f>
        <v>554.36526195374404</v>
      </c>
      <c r="F11" s="42">
        <f t="shared" si="1"/>
        <v>-64.796538204526229</v>
      </c>
      <c r="G11" s="55"/>
      <c r="H11" s="8" t="s">
        <v>55</v>
      </c>
      <c r="I11" s="8">
        <v>561</v>
      </c>
      <c r="J11" s="8" t="s">
        <v>64</v>
      </c>
      <c r="K11" s="50">
        <v>20.596696500960356</v>
      </c>
      <c r="L11" s="50">
        <v>244.24007290215857</v>
      </c>
    </row>
    <row r="12" spans="1:12">
      <c r="A12" s="41">
        <v>3</v>
      </c>
      <c r="B12" s="41">
        <v>466</v>
      </c>
      <c r="C12" s="58" t="s">
        <v>83</v>
      </c>
      <c r="D12" s="42">
        <f t="shared" si="2"/>
        <v>235.81174443992853</v>
      </c>
      <c r="E12" s="50">
        <f>E17*2</f>
        <v>466.2</v>
      </c>
      <c r="F12" s="42">
        <f t="shared" si="1"/>
        <v>-0.7428595046683566</v>
      </c>
      <c r="G12" s="55"/>
      <c r="H12" s="8" t="s">
        <v>56</v>
      </c>
      <c r="I12" s="8">
        <v>483</v>
      </c>
      <c r="J12" s="8" t="s">
        <v>77</v>
      </c>
      <c r="K12" s="50">
        <v>-38.576401626664875</v>
      </c>
      <c r="L12" s="50">
        <v>259.1730981276238</v>
      </c>
    </row>
    <row r="13" spans="1:12">
      <c r="A13" s="41">
        <v>2</v>
      </c>
      <c r="B13" s="41">
        <v>408</v>
      </c>
      <c r="C13" s="58" t="s">
        <v>150</v>
      </c>
      <c r="D13" s="42">
        <f t="shared" si="2"/>
        <v>230.11296321934148</v>
      </c>
      <c r="E13" s="50">
        <v>415.30469757994598</v>
      </c>
      <c r="F13" s="42">
        <f t="shared" si="1"/>
        <v>-30.721245863800227</v>
      </c>
      <c r="G13" s="55"/>
      <c r="H13" s="8" t="s">
        <v>47</v>
      </c>
      <c r="I13" s="8">
        <v>420</v>
      </c>
      <c r="J13" s="8" t="s">
        <v>66</v>
      </c>
      <c r="K13" s="50">
        <v>19.462964969753695</v>
      </c>
      <c r="L13" s="50">
        <v>241.96063340358052</v>
      </c>
    </row>
    <row r="14" spans="1:12">
      <c r="A14" s="41">
        <v>1</v>
      </c>
      <c r="B14" s="41">
        <v>359</v>
      </c>
      <c r="C14" s="58" t="s">
        <v>151</v>
      </c>
      <c r="D14" s="42">
        <f t="shared" si="2"/>
        <v>221.50236977813299</v>
      </c>
      <c r="E14" s="50">
        <v>369.9944227116348</v>
      </c>
      <c r="F14" s="42">
        <f t="shared" si="1"/>
        <v>-52.223615641931708</v>
      </c>
      <c r="G14" s="55"/>
      <c r="H14" s="8" t="s">
        <v>48</v>
      </c>
      <c r="I14" s="8">
        <v>366</v>
      </c>
      <c r="J14" s="8" t="s">
        <v>67</v>
      </c>
      <c r="K14" s="50">
        <v>-18.791850288742435</v>
      </c>
      <c r="L14" s="50">
        <v>238.25481525849614</v>
      </c>
    </row>
    <row r="15" spans="1:12">
      <c r="A15" s="41">
        <v>5</v>
      </c>
      <c r="B15" s="41">
        <v>310</v>
      </c>
      <c r="C15" s="58" t="s">
        <v>148</v>
      </c>
      <c r="D15" s="42">
        <f t="shared" si="2"/>
        <v>254.05875425857641</v>
      </c>
      <c r="E15" s="50">
        <v>311.12698372208121</v>
      </c>
      <c r="F15" s="42">
        <f t="shared" si="1"/>
        <v>-6.2823699005081712</v>
      </c>
      <c r="G15" s="55"/>
      <c r="H15" s="8" t="s">
        <v>49</v>
      </c>
      <c r="I15" s="8">
        <v>320</v>
      </c>
      <c r="J15" s="8" t="s">
        <v>68</v>
      </c>
      <c r="K15" s="50">
        <v>48.682057635241542</v>
      </c>
      <c r="L15" s="50">
        <v>232.52609207601623</v>
      </c>
    </row>
    <row r="16" spans="1:12">
      <c r="A16" s="41">
        <v>4</v>
      </c>
      <c r="B16" s="41">
        <v>271</v>
      </c>
      <c r="C16" s="63" t="s">
        <v>149</v>
      </c>
      <c r="D16" s="42">
        <f t="shared" si="2"/>
        <v>232.77043670443931</v>
      </c>
      <c r="E16" s="50">
        <v>277.18263097687202</v>
      </c>
      <c r="F16" s="42">
        <f t="shared" si="1"/>
        <v>-39.052806604945239</v>
      </c>
      <c r="G16" s="55"/>
      <c r="H16" s="8" t="s">
        <v>50</v>
      </c>
      <c r="I16" s="8">
        <v>280</v>
      </c>
      <c r="J16" s="8" t="s">
        <v>69</v>
      </c>
      <c r="K16" s="50">
        <v>17.507964104368824</v>
      </c>
      <c r="L16" s="50">
        <v>231.17409353087498</v>
      </c>
    </row>
    <row r="17" spans="1:12">
      <c r="A17" s="41">
        <v>3</v>
      </c>
      <c r="B17" s="41">
        <v>233</v>
      </c>
      <c r="C17" s="41" t="s">
        <v>83</v>
      </c>
      <c r="D17" s="42">
        <f t="shared" si="2"/>
        <v>261.55547603950953</v>
      </c>
      <c r="E17" s="21">
        <v>233.1</v>
      </c>
      <c r="F17" s="42">
        <f t="shared" si="1"/>
        <v>-0.7428595046683566</v>
      </c>
      <c r="G17" s="55"/>
      <c r="H17" s="8" t="s">
        <v>51</v>
      </c>
      <c r="I17" s="8">
        <v>241</v>
      </c>
      <c r="J17" s="8" t="s">
        <v>70</v>
      </c>
      <c r="K17" s="50">
        <v>-42.164452753638656</v>
      </c>
      <c r="L17" s="50">
        <v>259.67241685800593</v>
      </c>
    </row>
    <row r="18" spans="1:12">
      <c r="A18" s="41">
        <v>2</v>
      </c>
      <c r="B18" s="41">
        <v>204</v>
      </c>
      <c r="C18" s="8" t="s">
        <v>150</v>
      </c>
      <c r="D18" s="42">
        <f t="shared" si="2"/>
        <v>230.11296321934148</v>
      </c>
      <c r="E18" s="42">
        <f>E13/2</f>
        <v>207.65234878997299</v>
      </c>
      <c r="F18" s="42">
        <f t="shared" si="1"/>
        <v>-30.721245863800227</v>
      </c>
    </row>
    <row r="19" spans="1:12">
      <c r="A19" s="41">
        <v>1</v>
      </c>
      <c r="B19" s="41">
        <v>180</v>
      </c>
      <c r="C19" s="8" t="s">
        <v>151</v>
      </c>
      <c r="D19" s="42">
        <f t="shared" si="2"/>
        <v>216.68669477018503</v>
      </c>
      <c r="E19" s="50">
        <f>E14/2</f>
        <v>184.9972113558174</v>
      </c>
      <c r="F19" s="42">
        <f t="shared" si="1"/>
        <v>-47.407940633983678</v>
      </c>
    </row>
    <row r="21" spans="1:12">
      <c r="A21" s="38" t="s">
        <v>155</v>
      </c>
    </row>
    <row r="22" spans="1:12">
      <c r="A22" s="38" t="s">
        <v>156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3:AD40"/>
  <sheetViews>
    <sheetView topLeftCell="T1" workbookViewId="0">
      <selection activeCell="AB4" sqref="AB4:AD18"/>
    </sheetView>
  </sheetViews>
  <sheetFormatPr baseColWidth="10" defaultRowHeight="15"/>
  <cols>
    <col min="1" max="1" width="3.5703125" customWidth="1"/>
    <col min="2" max="2" width="11.140625" customWidth="1"/>
    <col min="3" max="3" width="8.42578125" customWidth="1"/>
    <col min="4" max="4" width="5.7109375" customWidth="1"/>
    <col min="5" max="5" width="9.42578125" customWidth="1"/>
    <col min="6" max="6" width="11.140625" customWidth="1"/>
    <col min="7" max="7" width="8.42578125" customWidth="1"/>
    <col min="8" max="8" width="5.7109375" customWidth="1"/>
    <col min="9" max="9" width="9.42578125" customWidth="1"/>
    <col min="10" max="10" width="8.85546875" customWidth="1"/>
    <col min="11" max="11" width="8.42578125" customWidth="1"/>
    <col min="12" max="12" width="10.28515625" customWidth="1"/>
    <col min="13" max="13" width="6.5703125" customWidth="1"/>
    <col min="14" max="14" width="9.42578125" customWidth="1"/>
    <col min="15" max="15" width="7.7109375" customWidth="1"/>
    <col min="16" max="16" width="7.28515625" customWidth="1"/>
    <col min="17" max="17" width="4" customWidth="1"/>
    <col min="18" max="18" width="4.140625" customWidth="1"/>
    <col min="19" max="20" width="6.5703125" customWidth="1"/>
    <col min="21" max="21" width="9.42578125" customWidth="1"/>
    <col min="24" max="24" width="9.140625" customWidth="1"/>
    <col min="28" max="30" width="14.28515625" bestFit="1" customWidth="1"/>
  </cols>
  <sheetData>
    <row r="3" spans="1:30">
      <c r="B3" s="61" t="s">
        <v>143</v>
      </c>
      <c r="P3" s="38" t="s">
        <v>157</v>
      </c>
      <c r="W3" s="67"/>
      <c r="X3" s="67"/>
      <c r="Y3" s="67"/>
      <c r="Z3" s="67"/>
    </row>
    <row r="4" spans="1:30">
      <c r="B4" s="8" t="s">
        <v>129</v>
      </c>
      <c r="C4" s="53" t="s">
        <v>72</v>
      </c>
      <c r="D4" s="8" t="s">
        <v>7</v>
      </c>
      <c r="E4" s="8" t="s">
        <v>74</v>
      </c>
      <c r="W4" s="66" t="s">
        <v>164</v>
      </c>
      <c r="X4" s="66" t="s">
        <v>7</v>
      </c>
      <c r="Y4" s="65" t="s">
        <v>165</v>
      </c>
      <c r="Z4" s="66" t="s">
        <v>166</v>
      </c>
      <c r="AA4" s="56" t="s">
        <v>130</v>
      </c>
      <c r="AB4" s="66" t="s">
        <v>167</v>
      </c>
      <c r="AC4" s="66" t="s">
        <v>168</v>
      </c>
      <c r="AD4" s="66" t="s">
        <v>169</v>
      </c>
    </row>
    <row r="5" spans="1:30">
      <c r="B5" s="8">
        <v>1129</v>
      </c>
      <c r="C5" s="8"/>
      <c r="D5" s="8" t="s">
        <v>59</v>
      </c>
      <c r="E5" s="50">
        <v>31.364068698009849</v>
      </c>
      <c r="W5" s="66" t="s">
        <v>72</v>
      </c>
      <c r="X5" s="66" t="s">
        <v>59</v>
      </c>
      <c r="Y5" s="65" t="s">
        <v>72</v>
      </c>
      <c r="Z5" s="66" t="s">
        <v>72</v>
      </c>
      <c r="AB5" s="66" t="s">
        <v>170</v>
      </c>
      <c r="AC5" s="66" t="s">
        <v>170</v>
      </c>
      <c r="AD5" s="66" t="s">
        <v>170</v>
      </c>
    </row>
    <row r="6" spans="1:30">
      <c r="B6" s="8">
        <v>968</v>
      </c>
      <c r="C6" s="50">
        <v>266.35984019808774</v>
      </c>
      <c r="D6" s="8" t="s">
        <v>78</v>
      </c>
      <c r="E6" s="50">
        <v>-34.99577150007913</v>
      </c>
      <c r="F6" s="59" t="s">
        <v>142</v>
      </c>
      <c r="G6" s="51"/>
      <c r="H6" s="51"/>
      <c r="I6" s="51"/>
      <c r="J6" s="51"/>
      <c r="K6" s="51"/>
      <c r="L6" s="51"/>
      <c r="M6" s="51"/>
      <c r="P6" s="41"/>
      <c r="Q6" s="41" t="s">
        <v>1</v>
      </c>
      <c r="R6" s="41" t="s">
        <v>153</v>
      </c>
      <c r="S6" s="41" t="s">
        <v>154</v>
      </c>
      <c r="T6" s="41" t="s">
        <v>73</v>
      </c>
      <c r="U6" s="41" t="s">
        <v>74</v>
      </c>
      <c r="W6" s="70">
        <v>266.35984019808774</v>
      </c>
      <c r="X6" s="66" t="s">
        <v>78</v>
      </c>
      <c r="Y6" s="66"/>
      <c r="Z6" s="65"/>
      <c r="AA6" s="39">
        <v>240</v>
      </c>
      <c r="AB6" s="69">
        <f>100-100*W6/AA6</f>
        <v>-10.983266749203224</v>
      </c>
      <c r="AC6" s="69"/>
      <c r="AD6" s="69"/>
    </row>
    <row r="7" spans="1:30">
      <c r="B7" s="8">
        <v>847</v>
      </c>
      <c r="C7" s="50">
        <v>231.17409353087498</v>
      </c>
      <c r="D7" s="8" t="s">
        <v>61</v>
      </c>
      <c r="E7" s="50">
        <v>33.830134969045126</v>
      </c>
      <c r="F7" s="8" t="s">
        <v>129</v>
      </c>
      <c r="G7" s="8" t="s">
        <v>72</v>
      </c>
      <c r="H7" s="8" t="s">
        <v>7</v>
      </c>
      <c r="I7" s="8" t="s">
        <v>74</v>
      </c>
      <c r="J7" s="8" t="s">
        <v>129</v>
      </c>
      <c r="K7" s="8" t="s">
        <v>72</v>
      </c>
      <c r="L7" s="8" t="s">
        <v>7</v>
      </c>
      <c r="M7" s="8" t="s">
        <v>136</v>
      </c>
      <c r="N7" s="8" t="s">
        <v>74</v>
      </c>
      <c r="O7" s="45" t="s">
        <v>141</v>
      </c>
      <c r="P7" s="41">
        <v>2</v>
      </c>
      <c r="Q7" s="41">
        <v>816</v>
      </c>
      <c r="R7" s="41" t="s">
        <v>150</v>
      </c>
      <c r="S7" s="43"/>
      <c r="T7" s="42">
        <f t="shared" ref="T7:T8" si="0">T12*2</f>
        <v>830.60939515989196</v>
      </c>
      <c r="U7" s="42">
        <f>1200*LN(Q7/T7)/LN(2)</f>
        <v>-30.721245863800227</v>
      </c>
      <c r="W7" s="70">
        <v>231.17409353087498</v>
      </c>
      <c r="X7" s="66" t="s">
        <v>61</v>
      </c>
      <c r="Y7" s="66"/>
      <c r="Z7" s="65"/>
      <c r="AA7" s="39">
        <v>240</v>
      </c>
      <c r="AB7" s="69">
        <f t="shared" ref="AB7:AB16" si="1">100-100*W7/AA7</f>
        <v>3.6774610288020853</v>
      </c>
      <c r="AC7" s="69"/>
      <c r="AD7" s="69"/>
    </row>
    <row r="8" spans="1:30">
      <c r="B8" s="8">
        <v>733</v>
      </c>
      <c r="C8" s="50">
        <v>250.25852543806405</v>
      </c>
      <c r="D8" s="8" t="s">
        <v>62</v>
      </c>
      <c r="E8" s="50">
        <v>-16.42839046901905</v>
      </c>
      <c r="F8" s="51"/>
      <c r="G8" s="51"/>
      <c r="H8" s="51"/>
      <c r="I8" s="51"/>
      <c r="J8" s="51" t="s">
        <v>145</v>
      </c>
      <c r="K8" s="51"/>
      <c r="L8" s="51"/>
      <c r="M8" s="51"/>
      <c r="O8" s="39" t="s">
        <v>144</v>
      </c>
      <c r="P8" s="41">
        <v>1</v>
      </c>
      <c r="Q8" s="41">
        <v>722</v>
      </c>
      <c r="R8" s="41" t="s">
        <v>151</v>
      </c>
      <c r="S8" s="42">
        <f>1200*LN(Q7/Q8)/LN(2)</f>
        <v>211.88437810118967</v>
      </c>
      <c r="T8" s="42">
        <f t="shared" si="0"/>
        <v>739.98884542326959</v>
      </c>
      <c r="U8" s="42">
        <f t="shared" ref="U8:U18" si="2">1200*LN(Q8/T8)/LN(2)</f>
        <v>-42.605623964988155</v>
      </c>
      <c r="W8" s="70">
        <v>250.25852543806405</v>
      </c>
      <c r="X8" s="66" t="s">
        <v>62</v>
      </c>
      <c r="Y8" s="66"/>
      <c r="Z8" s="72">
        <v>211.88437810118967</v>
      </c>
      <c r="AA8" s="39">
        <v>240</v>
      </c>
      <c r="AB8" s="69">
        <f t="shared" si="1"/>
        <v>-4.2743855991933657</v>
      </c>
      <c r="AC8" s="69"/>
      <c r="AD8" s="69">
        <f t="shared" ref="AD8:AD18" si="3">100-100*Z8/AA8</f>
        <v>11.714842457837648</v>
      </c>
    </row>
    <row r="9" spans="1:30">
      <c r="A9" s="8" t="s">
        <v>79</v>
      </c>
      <c r="B9" s="8">
        <v>646</v>
      </c>
      <c r="C9" s="50">
        <v>218.7348401278644</v>
      </c>
      <c r="D9" s="8" t="s">
        <v>79</v>
      </c>
      <c r="E9" s="50">
        <v>-35.163230596884283</v>
      </c>
      <c r="F9" s="8">
        <v>526</v>
      </c>
      <c r="G9" s="8"/>
      <c r="H9" s="8" t="s">
        <v>88</v>
      </c>
      <c r="I9" s="50">
        <v>9.071130921168999</v>
      </c>
      <c r="J9" s="50">
        <f>F9*241/190</f>
        <v>667.1894736842105</v>
      </c>
      <c r="K9" s="8"/>
      <c r="L9" s="8" t="s">
        <v>128</v>
      </c>
      <c r="M9" s="50">
        <v>659.25511382574086</v>
      </c>
      <c r="N9" s="42">
        <f>1200*LN(J9/M9)/LN(2)</f>
        <v>20.711604399985234</v>
      </c>
      <c r="O9" s="42">
        <f>1000-1000*B9/J9</f>
        <v>31.759304545382747</v>
      </c>
      <c r="P9" s="41">
        <v>5</v>
      </c>
      <c r="Q9" s="8">
        <v>624</v>
      </c>
      <c r="R9" s="58" t="s">
        <v>148</v>
      </c>
      <c r="S9" s="42">
        <f t="shared" ref="S9:S18" si="4">1200*LN(Q8/Q9)/LN(2)</f>
        <v>252.54336962990732</v>
      </c>
      <c r="T9" s="42">
        <v>622.26</v>
      </c>
      <c r="U9" s="42">
        <f t="shared" si="2"/>
        <v>4.8342227187146314</v>
      </c>
      <c r="W9" s="72">
        <v>218.7348401278644</v>
      </c>
      <c r="X9" s="66" t="s">
        <v>79</v>
      </c>
      <c r="Y9" s="66"/>
      <c r="Z9" s="69">
        <v>252.54336962990732</v>
      </c>
      <c r="AA9" s="39">
        <v>240</v>
      </c>
      <c r="AB9" s="69">
        <f t="shared" si="1"/>
        <v>8.8604832800564992</v>
      </c>
      <c r="AC9" s="69"/>
      <c r="AD9" s="69">
        <f t="shared" si="3"/>
        <v>-5.2264040124613871</v>
      </c>
    </row>
    <row r="10" spans="1:30">
      <c r="A10" s="8" t="s">
        <v>64</v>
      </c>
      <c r="B10" s="8">
        <v>561</v>
      </c>
      <c r="C10" s="50">
        <v>244.24007290215857</v>
      </c>
      <c r="D10" s="8" t="s">
        <v>64</v>
      </c>
      <c r="E10" s="50">
        <v>20.596696500960356</v>
      </c>
      <c r="F10" s="8">
        <v>443</v>
      </c>
      <c r="G10" s="50">
        <v>297.30732088474105</v>
      </c>
      <c r="H10" s="8" t="s">
        <v>89</v>
      </c>
      <c r="I10" s="50">
        <v>11.763810036430472</v>
      </c>
      <c r="J10" s="50">
        <f t="shared" ref="J10:J16" si="5">F10*241/190</f>
        <v>561.91052631578953</v>
      </c>
      <c r="K10" s="50">
        <f>1200*LN(J9/J10)/LN(2)</f>
        <v>297.30732088474065</v>
      </c>
      <c r="L10" s="8" t="s">
        <v>132</v>
      </c>
      <c r="M10" s="50">
        <f>M15*2</f>
        <v>554.36526195374404</v>
      </c>
      <c r="N10" s="42">
        <f t="shared" ref="N10:N16" si="6">1200*LN(J10/M10)/LN(2)</f>
        <v>23.404283515247517</v>
      </c>
      <c r="O10" s="42">
        <f t="shared" ref="O10:O16" si="7">1000-1000*B10/J10</f>
        <v>1.6204115658047158</v>
      </c>
      <c r="P10" s="41">
        <v>4</v>
      </c>
      <c r="Q10" s="41">
        <v>534</v>
      </c>
      <c r="R10" s="58" t="s">
        <v>149</v>
      </c>
      <c r="S10" s="42">
        <f t="shared" si="4"/>
        <v>269.64754460963326</v>
      </c>
      <c r="T10" s="50">
        <f>T15*2</f>
        <v>554.36526195374404</v>
      </c>
      <c r="U10" s="42">
        <f t="shared" si="2"/>
        <v>-64.796538204526229</v>
      </c>
      <c r="W10" s="70">
        <v>244.24007290215857</v>
      </c>
      <c r="X10" s="66" t="s">
        <v>64</v>
      </c>
      <c r="Y10" s="70">
        <v>297.30732088474105</v>
      </c>
      <c r="Z10" s="71">
        <v>269.64754460963326</v>
      </c>
      <c r="AA10" s="39">
        <v>240</v>
      </c>
      <c r="AB10" s="69">
        <f t="shared" si="1"/>
        <v>-1.7666970425660651</v>
      </c>
      <c r="AC10" s="69">
        <f t="shared" ref="AC10:AC17" si="8">100-100*Y10/AA10</f>
        <v>-23.878050368642107</v>
      </c>
      <c r="AD10" s="69">
        <f t="shared" si="3"/>
        <v>-12.353143587347191</v>
      </c>
    </row>
    <row r="11" spans="1:30">
      <c r="A11" s="8" t="s">
        <v>77</v>
      </c>
      <c r="B11" s="8">
        <v>483</v>
      </c>
      <c r="C11" s="50">
        <v>259.1730981276238</v>
      </c>
      <c r="D11" s="8" t="s">
        <v>77</v>
      </c>
      <c r="E11" s="50">
        <v>-38.576401626664875</v>
      </c>
      <c r="F11" s="8">
        <v>384</v>
      </c>
      <c r="G11" s="50">
        <v>247.44046540063445</v>
      </c>
      <c r="H11" s="8" t="s">
        <v>90</v>
      </c>
      <c r="I11" s="50">
        <v>-35.676655364206077</v>
      </c>
      <c r="J11" s="50">
        <f t="shared" si="5"/>
        <v>487.07368421052632</v>
      </c>
      <c r="K11" s="50">
        <f t="shared" ref="K11:K16" si="9">1200*LN(J10/J11)/LN(2)</f>
        <v>247.44046540063479</v>
      </c>
      <c r="L11" s="8" t="s">
        <v>70</v>
      </c>
      <c r="M11" s="50">
        <f>M16*2</f>
        <v>493.88330125612441</v>
      </c>
      <c r="N11" s="42">
        <f t="shared" si="6"/>
        <v>-24.036181885388658</v>
      </c>
      <c r="O11" s="42">
        <f t="shared" si="7"/>
        <v>8.3635892116183186</v>
      </c>
      <c r="P11" s="41">
        <v>3</v>
      </c>
      <c r="Q11" s="41">
        <v>466</v>
      </c>
      <c r="R11" s="58" t="s">
        <v>83</v>
      </c>
      <c r="S11" s="42">
        <f t="shared" si="4"/>
        <v>235.81174443992853</v>
      </c>
      <c r="T11" s="50">
        <f>T16*2</f>
        <v>466.2</v>
      </c>
      <c r="U11" s="42">
        <f t="shared" si="2"/>
        <v>-0.7428595046683566</v>
      </c>
      <c r="W11" s="70">
        <v>259.1730981276238</v>
      </c>
      <c r="X11" s="66" t="s">
        <v>77</v>
      </c>
      <c r="Y11" s="70">
        <v>247.44046540063445</v>
      </c>
      <c r="Z11" s="69">
        <v>235.81174443992853</v>
      </c>
      <c r="AA11" s="39">
        <v>240</v>
      </c>
      <c r="AB11" s="69">
        <f t="shared" si="1"/>
        <v>-7.9887908865099178</v>
      </c>
      <c r="AC11" s="69">
        <f t="shared" si="8"/>
        <v>-3.1001939169310191</v>
      </c>
      <c r="AD11" s="69">
        <f t="shared" si="3"/>
        <v>1.7451064833631165</v>
      </c>
    </row>
    <row r="12" spans="1:30">
      <c r="A12" s="8" t="s">
        <v>66</v>
      </c>
      <c r="B12" s="8">
        <v>420</v>
      </c>
      <c r="C12" s="50">
        <v>241.96063340358052</v>
      </c>
      <c r="D12" s="8" t="s">
        <v>66</v>
      </c>
      <c r="E12" s="50">
        <v>19.462964969753695</v>
      </c>
      <c r="F12" s="8">
        <v>329</v>
      </c>
      <c r="G12" s="50">
        <v>267.62247238309754</v>
      </c>
      <c r="H12" s="8" t="s">
        <v>95</v>
      </c>
      <c r="I12" s="50">
        <v>-3.299127747303519</v>
      </c>
      <c r="J12" s="50">
        <f t="shared" si="5"/>
        <v>417.31052631578945</v>
      </c>
      <c r="K12" s="50">
        <f t="shared" si="9"/>
        <v>267.62247238309789</v>
      </c>
      <c r="L12" s="8" t="s">
        <v>135</v>
      </c>
      <c r="M12" s="50">
        <v>415.30469757994558</v>
      </c>
      <c r="N12" s="42">
        <f t="shared" si="6"/>
        <v>8.3413457315129236</v>
      </c>
      <c r="O12" s="42">
        <v>6.44</v>
      </c>
      <c r="P12" s="41">
        <v>2</v>
      </c>
      <c r="Q12" s="41">
        <v>408</v>
      </c>
      <c r="R12" s="58" t="s">
        <v>150</v>
      </c>
      <c r="S12" s="42">
        <f t="shared" si="4"/>
        <v>230.11296321934148</v>
      </c>
      <c r="T12" s="50">
        <v>415.30469757994598</v>
      </c>
      <c r="U12" s="42">
        <f t="shared" si="2"/>
        <v>-30.721245863800227</v>
      </c>
      <c r="W12" s="70">
        <v>241.96063340358052</v>
      </c>
      <c r="X12" s="66" t="s">
        <v>66</v>
      </c>
      <c r="Y12" s="71">
        <v>267.62247238309754</v>
      </c>
      <c r="Z12" s="69">
        <v>230.11296321934148</v>
      </c>
      <c r="AA12" s="39">
        <v>240</v>
      </c>
      <c r="AB12" s="69">
        <f t="shared" si="1"/>
        <v>-0.81693058482521508</v>
      </c>
      <c r="AC12" s="69">
        <f t="shared" si="8"/>
        <v>-11.50936349295732</v>
      </c>
      <c r="AD12" s="69">
        <f t="shared" si="3"/>
        <v>4.119598658607714</v>
      </c>
    </row>
    <row r="13" spans="1:30">
      <c r="A13" s="8" t="s">
        <v>67</v>
      </c>
      <c r="B13" s="8">
        <v>366</v>
      </c>
      <c r="C13" s="50">
        <v>238.25481525849614</v>
      </c>
      <c r="D13" s="8" t="s">
        <v>67</v>
      </c>
      <c r="E13" s="50">
        <v>-18.791850288742435</v>
      </c>
      <c r="F13" s="8">
        <v>290</v>
      </c>
      <c r="G13" s="50">
        <v>218.4416204643683</v>
      </c>
      <c r="H13" s="8" t="s">
        <v>91</v>
      </c>
      <c r="I13" s="50">
        <v>-21.740748211671502</v>
      </c>
      <c r="J13" s="50">
        <f t="shared" si="5"/>
        <v>367.84210526315792</v>
      </c>
      <c r="K13" s="50">
        <f t="shared" si="9"/>
        <v>218.4416204643683</v>
      </c>
      <c r="L13" s="8" t="s">
        <v>134</v>
      </c>
      <c r="M13" s="50">
        <v>369.9944227116348</v>
      </c>
      <c r="N13" s="42">
        <f t="shared" si="6"/>
        <v>-10.10027473285542</v>
      </c>
      <c r="O13" s="42">
        <f t="shared" si="7"/>
        <v>5.0078695092288399</v>
      </c>
      <c r="P13" s="41">
        <v>1</v>
      </c>
      <c r="Q13" s="41">
        <v>359</v>
      </c>
      <c r="R13" s="58" t="s">
        <v>151</v>
      </c>
      <c r="S13" s="42">
        <f t="shared" si="4"/>
        <v>221.50236977813299</v>
      </c>
      <c r="T13" s="50">
        <v>369.9944227116348</v>
      </c>
      <c r="U13" s="42">
        <f t="shared" si="2"/>
        <v>-52.223615641931708</v>
      </c>
      <c r="W13" s="70">
        <v>238.25481525849614</v>
      </c>
      <c r="X13" s="66" t="s">
        <v>67</v>
      </c>
      <c r="Y13" s="72">
        <v>218.4416204643683</v>
      </c>
      <c r="Z13" s="69">
        <v>221.50236977813299</v>
      </c>
      <c r="AA13" s="39">
        <v>240</v>
      </c>
      <c r="AB13" s="69">
        <f t="shared" si="1"/>
        <v>0.72716030895995232</v>
      </c>
      <c r="AC13" s="69">
        <f t="shared" si="8"/>
        <v>8.9826581398465351</v>
      </c>
      <c r="AD13" s="69">
        <f t="shared" si="3"/>
        <v>7.7073459257779149</v>
      </c>
    </row>
    <row r="14" spans="1:30">
      <c r="A14" s="8" t="s">
        <v>68</v>
      </c>
      <c r="B14" s="8">
        <v>320</v>
      </c>
      <c r="C14" s="50">
        <v>232.52609207601623</v>
      </c>
      <c r="D14" s="8" t="s">
        <v>68</v>
      </c>
      <c r="E14" s="50">
        <v>48.682057635241542</v>
      </c>
      <c r="F14" s="8">
        <v>254</v>
      </c>
      <c r="G14" s="50">
        <v>229.46928389132231</v>
      </c>
      <c r="H14" s="8" t="s">
        <v>92</v>
      </c>
      <c r="I14" s="50">
        <v>-51.210032102993495</v>
      </c>
      <c r="J14" s="50">
        <f t="shared" si="5"/>
        <v>322.17894736842106</v>
      </c>
      <c r="K14" s="50">
        <f t="shared" si="9"/>
        <v>229.46928389132231</v>
      </c>
      <c r="L14" s="8" t="s">
        <v>133</v>
      </c>
      <c r="M14" s="50">
        <v>311.12698372208121</v>
      </c>
      <c r="N14" s="42">
        <f t="shared" si="6"/>
        <v>60.430441375822326</v>
      </c>
      <c r="O14" s="42">
        <f t="shared" si="7"/>
        <v>6.763158754533265</v>
      </c>
      <c r="P14" s="41">
        <v>5</v>
      </c>
      <c r="Q14" s="41">
        <v>310</v>
      </c>
      <c r="R14" s="58" t="s">
        <v>148</v>
      </c>
      <c r="S14" s="42">
        <f t="shared" si="4"/>
        <v>254.05875425857641</v>
      </c>
      <c r="T14" s="50">
        <v>311.12698372208121</v>
      </c>
      <c r="U14" s="42">
        <f t="shared" si="2"/>
        <v>-6.2823699005081712</v>
      </c>
      <c r="W14" s="70">
        <v>232.52609207601623</v>
      </c>
      <c r="X14" s="66" t="s">
        <v>68</v>
      </c>
      <c r="Y14" s="70">
        <v>229.46928389132231</v>
      </c>
      <c r="Z14" s="69">
        <v>254.05875425857641</v>
      </c>
      <c r="AA14" s="39">
        <v>240</v>
      </c>
      <c r="AB14" s="69">
        <f t="shared" si="1"/>
        <v>3.1141283016599175</v>
      </c>
      <c r="AC14" s="69">
        <f t="shared" si="8"/>
        <v>4.3877983786157131</v>
      </c>
      <c r="AD14" s="69">
        <f t="shared" si="3"/>
        <v>-5.8578142744068344</v>
      </c>
    </row>
    <row r="15" spans="1:30">
      <c r="A15" s="8" t="s">
        <v>69</v>
      </c>
      <c r="B15" s="8">
        <v>280</v>
      </c>
      <c r="C15" s="50">
        <v>231.17409353087498</v>
      </c>
      <c r="D15" s="8" t="s">
        <v>69</v>
      </c>
      <c r="E15" s="50">
        <v>17.507964104368824</v>
      </c>
      <c r="F15" s="8">
        <v>221.5</v>
      </c>
      <c r="G15" s="50">
        <v>237.02615786057714</v>
      </c>
      <c r="H15" s="8" t="s">
        <v>93</v>
      </c>
      <c r="I15" s="50">
        <v>11.763810036429708</v>
      </c>
      <c r="J15" s="50">
        <f t="shared" si="5"/>
        <v>280.95526315789476</v>
      </c>
      <c r="K15" s="50">
        <f t="shared" si="9"/>
        <v>237.02615786057714</v>
      </c>
      <c r="L15" s="8" t="s">
        <v>132</v>
      </c>
      <c r="M15" s="50">
        <v>277.18263097687202</v>
      </c>
      <c r="N15" s="42">
        <f t="shared" si="6"/>
        <v>23.404283515247517</v>
      </c>
      <c r="O15" s="42">
        <f t="shared" si="7"/>
        <v>3.4000543259369351</v>
      </c>
      <c r="P15" s="41">
        <v>4</v>
      </c>
      <c r="Q15" s="41">
        <v>271</v>
      </c>
      <c r="R15" s="63" t="s">
        <v>149</v>
      </c>
      <c r="S15" s="42">
        <f t="shared" si="4"/>
        <v>232.77043670443931</v>
      </c>
      <c r="T15" s="50">
        <v>277.18263097687202</v>
      </c>
      <c r="U15" s="42">
        <f t="shared" si="2"/>
        <v>-39.052806604945239</v>
      </c>
      <c r="W15" s="70">
        <v>231.17409353087498</v>
      </c>
      <c r="X15" s="66" t="s">
        <v>69</v>
      </c>
      <c r="Y15" s="70">
        <v>237.02615786057714</v>
      </c>
      <c r="Z15" s="69">
        <v>232.77043670443931</v>
      </c>
      <c r="AA15" s="39">
        <v>240</v>
      </c>
      <c r="AB15" s="69">
        <f t="shared" si="1"/>
        <v>3.6774610288020853</v>
      </c>
      <c r="AC15" s="69">
        <f t="shared" si="8"/>
        <v>1.2391008914261903</v>
      </c>
      <c r="AD15" s="69">
        <f t="shared" si="3"/>
        <v>3.0123180398169609</v>
      </c>
    </row>
    <row r="16" spans="1:30">
      <c r="A16" s="58" t="s">
        <v>70</v>
      </c>
      <c r="B16" s="8">
        <v>241</v>
      </c>
      <c r="C16" s="57">
        <v>259.67241685800593</v>
      </c>
      <c r="D16" s="58" t="s">
        <v>70</v>
      </c>
      <c r="E16" s="57">
        <v>-42.164452753638656</v>
      </c>
      <c r="F16" s="58">
        <v>190</v>
      </c>
      <c r="G16" s="57">
        <v>265.56873626888449</v>
      </c>
      <c r="H16" s="58" t="s">
        <v>94</v>
      </c>
      <c r="I16" s="57">
        <v>246.1950737675441</v>
      </c>
      <c r="J16" s="57">
        <f t="shared" si="5"/>
        <v>241</v>
      </c>
      <c r="K16" s="57">
        <f t="shared" si="9"/>
        <v>265.56873626888483</v>
      </c>
      <c r="L16" s="58" t="s">
        <v>70</v>
      </c>
      <c r="M16" s="57">
        <v>246.94165062806221</v>
      </c>
      <c r="N16" s="57">
        <f t="shared" si="6"/>
        <v>-42.164452753638656</v>
      </c>
      <c r="O16" s="42">
        <f t="shared" si="7"/>
        <v>0</v>
      </c>
      <c r="P16" s="41">
        <v>3</v>
      </c>
      <c r="Q16" s="41">
        <v>233</v>
      </c>
      <c r="R16" s="41" t="s">
        <v>83</v>
      </c>
      <c r="S16" s="42">
        <f t="shared" si="4"/>
        <v>261.55547603950953</v>
      </c>
      <c r="T16" s="21">
        <v>233.1</v>
      </c>
      <c r="U16" s="42">
        <f t="shared" si="2"/>
        <v>-0.7428595046683566</v>
      </c>
      <c r="W16" s="71">
        <v>259.67241685800593</v>
      </c>
      <c r="X16" s="66" t="s">
        <v>70</v>
      </c>
      <c r="Y16" s="70">
        <v>265.56873626888449</v>
      </c>
      <c r="Z16" s="69">
        <v>261.55547603950953</v>
      </c>
      <c r="AA16" s="39">
        <v>240</v>
      </c>
      <c r="AB16" s="69">
        <f t="shared" si="1"/>
        <v>-8.1968403575024666</v>
      </c>
      <c r="AC16" s="69">
        <f t="shared" si="8"/>
        <v>-10.653640112035205</v>
      </c>
      <c r="AD16" s="69">
        <f t="shared" si="3"/>
        <v>-8.9814483497956275</v>
      </c>
    </row>
    <row r="17" spans="6:30">
      <c r="P17" s="41">
        <v>2</v>
      </c>
      <c r="Q17" s="41">
        <v>204</v>
      </c>
      <c r="R17" s="8" t="s">
        <v>150</v>
      </c>
      <c r="S17" s="42">
        <f t="shared" si="4"/>
        <v>230.11296321934148</v>
      </c>
      <c r="T17" s="42">
        <f>T12/2</f>
        <v>207.65234878997299</v>
      </c>
      <c r="U17" s="42">
        <f t="shared" si="2"/>
        <v>-30.721245863800227</v>
      </c>
      <c r="W17" s="66"/>
      <c r="X17" s="66"/>
      <c r="Y17" s="70">
        <f>AVERAGE(Y10:Y16)</f>
        <v>251.83943673623216</v>
      </c>
      <c r="Z17" s="69">
        <v>230.11296321934148</v>
      </c>
      <c r="AA17" s="39">
        <v>240</v>
      </c>
      <c r="AB17" s="69"/>
      <c r="AC17" s="69">
        <f t="shared" si="8"/>
        <v>-4.9330986400967305</v>
      </c>
      <c r="AD17" s="69">
        <f t="shared" si="3"/>
        <v>4.119598658607714</v>
      </c>
    </row>
    <row r="18" spans="6:30">
      <c r="F18" s="54"/>
      <c r="I18" s="54"/>
      <c r="P18" s="41">
        <v>1</v>
      </c>
      <c r="Q18" s="41">
        <v>180</v>
      </c>
      <c r="R18" s="8" t="s">
        <v>151</v>
      </c>
      <c r="S18" s="42">
        <f t="shared" si="4"/>
        <v>216.68669477018503</v>
      </c>
      <c r="T18" s="50">
        <f>T13/2</f>
        <v>184.9972113558174</v>
      </c>
      <c r="U18" s="42">
        <f t="shared" si="2"/>
        <v>-47.407940633983678</v>
      </c>
      <c r="W18" s="65"/>
      <c r="X18" s="65"/>
      <c r="Y18" s="64"/>
      <c r="Z18" s="69">
        <v>216.68669477018503</v>
      </c>
      <c r="AA18" s="39">
        <v>240</v>
      </c>
      <c r="AB18" s="69"/>
      <c r="AC18" s="69"/>
      <c r="AD18" s="69">
        <f t="shared" si="3"/>
        <v>9.7138771790895788</v>
      </c>
    </row>
    <row r="19" spans="6:30">
      <c r="F19" s="54"/>
      <c r="I19" s="54"/>
      <c r="W19" s="62"/>
      <c r="X19" s="68"/>
      <c r="Y19" s="62"/>
      <c r="Z19" s="62"/>
    </row>
    <row r="20" spans="6:30">
      <c r="F20" s="54"/>
      <c r="I20" s="54"/>
      <c r="W20" s="67"/>
      <c r="X20" s="67"/>
      <c r="Y20" s="67"/>
      <c r="Z20" s="67"/>
    </row>
    <row r="21" spans="6:30">
      <c r="F21" s="54"/>
      <c r="I21" s="54"/>
      <c r="W21" s="67"/>
      <c r="X21" s="67"/>
      <c r="Y21" s="67"/>
      <c r="Z21" s="67"/>
    </row>
    <row r="22" spans="6:30">
      <c r="F22" s="54"/>
      <c r="G22" s="55"/>
      <c r="H22" s="38" t="s">
        <v>137</v>
      </c>
      <c r="I22" s="54"/>
    </row>
    <row r="23" spans="6:30">
      <c r="F23" s="54"/>
      <c r="G23" s="54"/>
      <c r="H23" s="38" t="s">
        <v>138</v>
      </c>
      <c r="I23" s="54"/>
    </row>
    <row r="24" spans="6:30">
      <c r="F24" s="54"/>
      <c r="G24" s="54"/>
      <c r="H24" s="38" t="s">
        <v>139</v>
      </c>
      <c r="I24" s="54"/>
    </row>
    <row r="25" spans="6:30">
      <c r="F25" s="54"/>
      <c r="G25" s="54"/>
      <c r="H25" s="54" t="s">
        <v>140</v>
      </c>
      <c r="I25" s="54"/>
    </row>
    <row r="26" spans="6:30">
      <c r="F26" s="54"/>
      <c r="G26" s="54"/>
      <c r="H26" s="56"/>
      <c r="I26" s="54"/>
    </row>
    <row r="27" spans="6:30">
      <c r="F27" s="54"/>
      <c r="G27" s="54"/>
      <c r="H27" s="56"/>
      <c r="I27" s="54"/>
      <c r="K27" s="38" t="s">
        <v>158</v>
      </c>
      <c r="N27" s="38" t="s">
        <v>159</v>
      </c>
    </row>
    <row r="28" spans="6:30">
      <c r="F28" s="54"/>
      <c r="G28" s="54"/>
      <c r="H28" s="56"/>
      <c r="I28" s="54"/>
      <c r="K28" s="8" t="s">
        <v>129</v>
      </c>
      <c r="L28" s="53" t="s">
        <v>72</v>
      </c>
      <c r="M28" s="8" t="s">
        <v>7</v>
      </c>
      <c r="N28" s="38"/>
      <c r="O28" s="38"/>
      <c r="P28" s="38"/>
    </row>
    <row r="29" spans="6:30">
      <c r="F29" s="54"/>
      <c r="G29" s="54"/>
      <c r="H29" s="56"/>
      <c r="I29" s="38" t="s">
        <v>162</v>
      </c>
      <c r="K29" s="8">
        <v>1129</v>
      </c>
      <c r="L29" s="8"/>
      <c r="M29" s="8" t="s">
        <v>59</v>
      </c>
      <c r="N29" s="38"/>
      <c r="O29" s="38"/>
      <c r="P29" s="38"/>
    </row>
    <row r="30" spans="6:30">
      <c r="F30" s="54"/>
      <c r="G30" s="54"/>
      <c r="H30" s="56"/>
      <c r="I30" s="38" t="s">
        <v>163</v>
      </c>
      <c r="K30" s="8" t="s">
        <v>160</v>
      </c>
      <c r="L30" s="50">
        <v>266.35984019808774</v>
      </c>
      <c r="M30" s="8" t="s">
        <v>78</v>
      </c>
      <c r="N30" s="41" t="s">
        <v>161</v>
      </c>
      <c r="O30" s="41" t="s">
        <v>153</v>
      </c>
      <c r="P30" s="41" t="s">
        <v>154</v>
      </c>
    </row>
    <row r="31" spans="6:30">
      <c r="F31" s="54"/>
      <c r="G31" s="54"/>
      <c r="H31" s="54"/>
      <c r="I31" s="55">
        <f>10*K31/N31</f>
        <v>10.379901960784315</v>
      </c>
      <c r="J31" s="41" t="s">
        <v>150</v>
      </c>
      <c r="K31" s="8">
        <v>847</v>
      </c>
      <c r="L31" s="50">
        <v>231.17409353087498</v>
      </c>
      <c r="M31" s="8" t="s">
        <v>61</v>
      </c>
      <c r="N31" s="41">
        <v>816</v>
      </c>
      <c r="O31" s="41" t="s">
        <v>150</v>
      </c>
      <c r="P31" s="43"/>
    </row>
    <row r="32" spans="6:30">
      <c r="I32" s="55">
        <f t="shared" ref="I32:I40" si="10">10*K32/N32</f>
        <v>10.152354570637119</v>
      </c>
      <c r="J32" s="41" t="s">
        <v>151</v>
      </c>
      <c r="K32" s="8">
        <v>733</v>
      </c>
      <c r="L32" s="50">
        <v>250.25852543806405</v>
      </c>
      <c r="M32" s="8" t="s">
        <v>62</v>
      </c>
      <c r="N32" s="41">
        <v>722</v>
      </c>
      <c r="O32" s="41" t="s">
        <v>151</v>
      </c>
      <c r="P32" s="42">
        <v>211.88437810118967</v>
      </c>
    </row>
    <row r="33" spans="9:16">
      <c r="I33" s="55">
        <f t="shared" si="10"/>
        <v>10.352564102564102</v>
      </c>
      <c r="J33" s="58" t="s">
        <v>148</v>
      </c>
      <c r="K33" s="8">
        <v>646</v>
      </c>
      <c r="L33" s="50">
        <v>218.7348401278644</v>
      </c>
      <c r="M33" s="8" t="s">
        <v>63</v>
      </c>
      <c r="N33" s="8">
        <v>624</v>
      </c>
      <c r="O33" s="58" t="s">
        <v>148</v>
      </c>
      <c r="P33" s="42">
        <v>252.54336962990732</v>
      </c>
    </row>
    <row r="34" spans="9:16">
      <c r="I34" s="55">
        <f t="shared" si="10"/>
        <v>10.50561797752809</v>
      </c>
      <c r="J34" s="58" t="s">
        <v>149</v>
      </c>
      <c r="K34" s="8">
        <v>561</v>
      </c>
      <c r="L34" s="50">
        <v>244.24007290215857</v>
      </c>
      <c r="M34" s="8" t="s">
        <v>64</v>
      </c>
      <c r="N34" s="41">
        <v>534</v>
      </c>
      <c r="O34" s="58" t="s">
        <v>149</v>
      </c>
      <c r="P34" s="42">
        <v>269.64754460963326</v>
      </c>
    </row>
    <row r="35" spans="9:16">
      <c r="I35" s="55">
        <f t="shared" si="10"/>
        <v>10.36480686695279</v>
      </c>
      <c r="J35" s="58" t="s">
        <v>83</v>
      </c>
      <c r="K35" s="8">
        <v>483</v>
      </c>
      <c r="L35" s="50">
        <v>259.1730981276238</v>
      </c>
      <c r="M35" s="8" t="s">
        <v>65</v>
      </c>
      <c r="N35" s="41">
        <v>466</v>
      </c>
      <c r="O35" s="58" t="s">
        <v>83</v>
      </c>
      <c r="P35" s="42">
        <v>235.81174443992853</v>
      </c>
    </row>
    <row r="36" spans="9:16">
      <c r="I36" s="55">
        <f t="shared" si="10"/>
        <v>10.294117647058824</v>
      </c>
      <c r="J36" s="58" t="s">
        <v>150</v>
      </c>
      <c r="K36" s="8">
        <v>420</v>
      </c>
      <c r="L36" s="50">
        <v>241.96063340358052</v>
      </c>
      <c r="M36" s="8" t="s">
        <v>66</v>
      </c>
      <c r="N36" s="41">
        <v>408</v>
      </c>
      <c r="O36" s="58" t="s">
        <v>150</v>
      </c>
      <c r="P36" s="42">
        <v>230.11296321934148</v>
      </c>
    </row>
    <row r="37" spans="9:16">
      <c r="I37" s="55">
        <f t="shared" si="10"/>
        <v>10.194986072423399</v>
      </c>
      <c r="J37" s="58" t="s">
        <v>151</v>
      </c>
      <c r="K37" s="8">
        <v>366</v>
      </c>
      <c r="L37" s="50">
        <v>238.25481525849614</v>
      </c>
      <c r="M37" s="8" t="s">
        <v>67</v>
      </c>
      <c r="N37" s="41">
        <v>359</v>
      </c>
      <c r="O37" s="58" t="s">
        <v>151</v>
      </c>
      <c r="P37" s="42">
        <v>221.50236977813299</v>
      </c>
    </row>
    <row r="38" spans="9:16">
      <c r="I38" s="55">
        <f t="shared" si="10"/>
        <v>10.32258064516129</v>
      </c>
      <c r="J38" s="58" t="s">
        <v>148</v>
      </c>
      <c r="K38" s="8">
        <v>320</v>
      </c>
      <c r="L38" s="50">
        <v>232.52609207601623</v>
      </c>
      <c r="M38" s="8" t="s">
        <v>68</v>
      </c>
      <c r="N38" s="41">
        <v>310</v>
      </c>
      <c r="O38" s="58" t="s">
        <v>148</v>
      </c>
      <c r="P38" s="42">
        <v>254.05875425857641</v>
      </c>
    </row>
    <row r="39" spans="9:16">
      <c r="I39" s="55">
        <f t="shared" si="10"/>
        <v>10.332103321033211</v>
      </c>
      <c r="J39" s="63" t="s">
        <v>149</v>
      </c>
      <c r="K39" s="8">
        <v>280</v>
      </c>
      <c r="L39" s="50">
        <v>231.17409353087498</v>
      </c>
      <c r="M39" s="8" t="s">
        <v>69</v>
      </c>
      <c r="N39" s="41">
        <v>271</v>
      </c>
      <c r="O39" s="63" t="s">
        <v>149</v>
      </c>
      <c r="P39" s="42">
        <v>232.77043670443931</v>
      </c>
    </row>
    <row r="40" spans="9:16">
      <c r="I40" s="55">
        <f t="shared" si="10"/>
        <v>10.343347639484978</v>
      </c>
      <c r="J40" s="41" t="s">
        <v>83</v>
      </c>
      <c r="K40" s="8">
        <v>241</v>
      </c>
      <c r="L40" s="50">
        <v>259.67241685800593</v>
      </c>
      <c r="M40" s="8" t="s">
        <v>65</v>
      </c>
      <c r="N40" s="41">
        <v>233</v>
      </c>
      <c r="O40" s="41" t="s">
        <v>83</v>
      </c>
      <c r="P40" s="42">
        <v>261.55547603950953</v>
      </c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L34"/>
  <sheetViews>
    <sheetView topLeftCell="A4" workbookViewId="0">
      <selection activeCell="F16" sqref="F16"/>
    </sheetView>
  </sheetViews>
  <sheetFormatPr baseColWidth="10" defaultRowHeight="15"/>
  <cols>
    <col min="1" max="1" width="7.5703125" style="38" customWidth="1"/>
    <col min="2" max="2" width="9" customWidth="1"/>
    <col min="3" max="3" width="9.5703125" customWidth="1"/>
    <col min="4" max="4" width="8.85546875" customWidth="1"/>
    <col min="6" max="7" width="7.5703125" customWidth="1"/>
    <col min="8" max="8" width="7.28515625" customWidth="1"/>
    <col min="9" max="9" width="7.140625" customWidth="1"/>
  </cols>
  <sheetData>
    <row r="1" spans="1:12" ht="15.75">
      <c r="B1" s="73" t="s">
        <v>209</v>
      </c>
    </row>
    <row r="3" spans="1:12">
      <c r="B3" s="38" t="s">
        <v>210</v>
      </c>
    </row>
    <row r="5" spans="1:12">
      <c r="A5" s="39"/>
      <c r="B5" s="39" t="s">
        <v>212</v>
      </c>
      <c r="C5" s="39" t="s">
        <v>129</v>
      </c>
      <c r="D5" s="44"/>
      <c r="E5" s="39" t="s">
        <v>216</v>
      </c>
      <c r="F5" s="44" t="s">
        <v>217</v>
      </c>
      <c r="G5" s="39"/>
      <c r="H5" s="39" t="s">
        <v>218</v>
      </c>
    </row>
    <row r="6" spans="1:12">
      <c r="A6" s="39">
        <v>1</v>
      </c>
      <c r="B6" s="39" t="s">
        <v>68</v>
      </c>
      <c r="C6" s="39">
        <v>605</v>
      </c>
      <c r="D6" s="39" t="s">
        <v>68</v>
      </c>
      <c r="E6" s="19">
        <v>622.25396744416275</v>
      </c>
      <c r="F6" s="39"/>
      <c r="G6" s="39"/>
      <c r="H6" s="39"/>
      <c r="I6" s="38"/>
      <c r="J6" s="19"/>
    </row>
    <row r="7" spans="1:12">
      <c r="A7" s="39">
        <v>2</v>
      </c>
      <c r="B7" s="39" t="s">
        <v>95</v>
      </c>
      <c r="C7" s="39">
        <v>644</v>
      </c>
      <c r="D7" s="39" t="s">
        <v>95</v>
      </c>
      <c r="E7" s="19">
        <v>659.25511382574086</v>
      </c>
      <c r="F7" s="39"/>
      <c r="G7" s="39"/>
      <c r="H7" s="39"/>
      <c r="I7" s="38"/>
    </row>
    <row r="8" spans="1:12">
      <c r="A8" s="39">
        <v>3</v>
      </c>
      <c r="B8" s="39" t="s">
        <v>67</v>
      </c>
      <c r="C8" s="39">
        <v>749</v>
      </c>
      <c r="D8" s="39" t="s">
        <v>67</v>
      </c>
      <c r="E8" s="19">
        <v>739.98884542327005</v>
      </c>
      <c r="F8" s="39"/>
      <c r="G8" s="39"/>
      <c r="H8" s="39"/>
      <c r="I8" s="38"/>
    </row>
    <row r="9" spans="1:12">
      <c r="A9" s="39">
        <v>4</v>
      </c>
      <c r="B9" s="39" t="s">
        <v>66</v>
      </c>
      <c r="C9" s="39">
        <v>842</v>
      </c>
      <c r="D9" s="39" t="s">
        <v>66</v>
      </c>
      <c r="E9" s="19">
        <v>830.60939515989173</v>
      </c>
      <c r="F9" s="39">
        <v>407</v>
      </c>
      <c r="G9" s="39"/>
      <c r="H9" s="39"/>
      <c r="I9" s="38"/>
      <c r="J9" s="19"/>
    </row>
    <row r="10" spans="1:12">
      <c r="A10" s="39">
        <v>5</v>
      </c>
      <c r="B10" s="39" t="s">
        <v>213</v>
      </c>
      <c r="C10" s="39">
        <v>910</v>
      </c>
      <c r="D10" s="39" t="s">
        <v>213</v>
      </c>
      <c r="E10" s="19">
        <v>932.32752303618156</v>
      </c>
      <c r="F10" s="39">
        <v>402</v>
      </c>
      <c r="G10" s="39"/>
      <c r="H10" s="39"/>
    </row>
    <row r="11" spans="1:12">
      <c r="A11" s="39">
        <v>6</v>
      </c>
      <c r="B11" s="39" t="s">
        <v>77</v>
      </c>
      <c r="C11" s="39">
        <v>945</v>
      </c>
      <c r="D11" s="39" t="s">
        <v>77</v>
      </c>
      <c r="E11" s="19">
        <v>987.76660251225007</v>
      </c>
      <c r="F11" s="39">
        <v>446</v>
      </c>
      <c r="G11" s="39"/>
      <c r="H11" s="39"/>
      <c r="I11" s="38"/>
      <c r="J11" s="19"/>
    </row>
    <row r="12" spans="1:12">
      <c r="A12" s="39">
        <v>7</v>
      </c>
      <c r="B12" s="39" t="s">
        <v>88</v>
      </c>
      <c r="C12" s="39">
        <v>1045</v>
      </c>
      <c r="D12" s="18" t="s">
        <v>211</v>
      </c>
      <c r="E12" s="20">
        <v>1046.5022612023965</v>
      </c>
      <c r="F12" s="39">
        <v>495</v>
      </c>
      <c r="G12" s="39"/>
      <c r="H12" s="39"/>
      <c r="K12" s="38"/>
      <c r="L12" s="19"/>
    </row>
    <row r="13" spans="1:12">
      <c r="A13" s="39">
        <v>8</v>
      </c>
      <c r="B13" s="39" t="s">
        <v>202</v>
      </c>
      <c r="C13" s="39">
        <v>1145</v>
      </c>
      <c r="D13" s="39" t="s">
        <v>202</v>
      </c>
      <c r="E13" s="19">
        <v>1174.6590716696326</v>
      </c>
      <c r="F13" s="39">
        <v>541</v>
      </c>
      <c r="G13" s="39"/>
      <c r="H13" s="39"/>
      <c r="I13" s="38"/>
      <c r="J13" s="19"/>
      <c r="K13" s="38"/>
      <c r="L13" s="19"/>
    </row>
    <row r="14" spans="1:12">
      <c r="A14" s="39">
        <v>9</v>
      </c>
      <c r="B14" s="39" t="s">
        <v>214</v>
      </c>
      <c r="C14" s="39">
        <v>1305</v>
      </c>
      <c r="D14" s="39" t="s">
        <v>214</v>
      </c>
      <c r="E14" s="19">
        <v>1318.5102276514824</v>
      </c>
      <c r="F14" s="39">
        <v>663</v>
      </c>
      <c r="G14" s="39" t="s">
        <v>128</v>
      </c>
      <c r="H14" s="19">
        <v>659.25511382574086</v>
      </c>
      <c r="K14" s="38"/>
      <c r="L14" s="19"/>
    </row>
    <row r="15" spans="1:12">
      <c r="A15" s="39">
        <v>10</v>
      </c>
      <c r="B15" s="39" t="s">
        <v>204</v>
      </c>
      <c r="C15" s="39">
        <v>1331</v>
      </c>
      <c r="D15" s="39" t="s">
        <v>204</v>
      </c>
      <c r="E15" s="19">
        <v>1396.9129257320185</v>
      </c>
      <c r="F15" s="39">
        <v>668</v>
      </c>
      <c r="G15" s="39" t="s">
        <v>128</v>
      </c>
      <c r="H15" s="19">
        <v>660.25511382574098</v>
      </c>
      <c r="J15" s="39">
        <v>452</v>
      </c>
      <c r="K15" s="39">
        <v>204</v>
      </c>
      <c r="L15" s="19"/>
    </row>
    <row r="16" spans="1:12">
      <c r="A16" s="39">
        <v>11</v>
      </c>
      <c r="B16" s="39" t="s">
        <v>205</v>
      </c>
      <c r="C16" s="39">
        <v>1501</v>
      </c>
      <c r="D16" s="39" t="s">
        <v>219</v>
      </c>
      <c r="E16" s="19">
        <v>1479.9776908465408</v>
      </c>
      <c r="F16" s="39">
        <v>796</v>
      </c>
      <c r="G16" s="39" t="s">
        <v>15</v>
      </c>
      <c r="H16" s="19">
        <v>739.98884542327005</v>
      </c>
      <c r="J16" s="39">
        <v>239</v>
      </c>
      <c r="L16" s="19"/>
    </row>
    <row r="17" spans="1:12">
      <c r="A17" s="39">
        <v>12</v>
      </c>
      <c r="B17" s="39" t="s">
        <v>68</v>
      </c>
      <c r="C17" s="39">
        <v>1738</v>
      </c>
      <c r="D17" s="39" t="s">
        <v>220</v>
      </c>
      <c r="E17" s="19">
        <v>1759</v>
      </c>
      <c r="F17" s="39">
        <v>963</v>
      </c>
      <c r="G17" s="39" t="s">
        <v>9</v>
      </c>
      <c r="H17" s="19">
        <v>987.76660251225007</v>
      </c>
      <c r="J17" s="39">
        <v>293</v>
      </c>
      <c r="K17" s="39"/>
      <c r="L17" s="19"/>
    </row>
    <row r="18" spans="1:12">
      <c r="A18" s="39">
        <v>13</v>
      </c>
      <c r="B18" s="39" t="s">
        <v>215</v>
      </c>
      <c r="C18" s="39">
        <v>1776</v>
      </c>
      <c r="D18" s="39" t="s">
        <v>220</v>
      </c>
      <c r="E18" s="19">
        <v>1760.0000000000041</v>
      </c>
      <c r="F18" s="39">
        <v>999</v>
      </c>
      <c r="G18" s="39" t="s">
        <v>9</v>
      </c>
      <c r="H18" s="19">
        <v>988.76660251224996</v>
      </c>
      <c r="J18" s="39"/>
      <c r="K18" s="39"/>
      <c r="L18" s="19"/>
    </row>
    <row r="19" spans="1:12">
      <c r="A19" s="39">
        <v>14</v>
      </c>
      <c r="B19" s="39" t="s">
        <v>90</v>
      </c>
      <c r="C19" s="39">
        <v>1797</v>
      </c>
      <c r="D19" s="39" t="s">
        <v>220</v>
      </c>
      <c r="E19" s="19">
        <v>1761</v>
      </c>
      <c r="G19" s="39"/>
      <c r="H19" s="39"/>
      <c r="J19" s="39">
        <v>374</v>
      </c>
      <c r="K19" s="39"/>
      <c r="L19" s="19"/>
    </row>
    <row r="20" spans="1:12">
      <c r="A20" s="39">
        <v>15</v>
      </c>
      <c r="B20" s="39" t="s">
        <v>66</v>
      </c>
      <c r="C20" s="39">
        <v>1839</v>
      </c>
      <c r="D20" s="39" t="s">
        <v>221</v>
      </c>
      <c r="E20" s="19">
        <v>1864.655046072364</v>
      </c>
      <c r="G20" s="39"/>
      <c r="H20" s="39"/>
      <c r="J20" s="39">
        <v>413</v>
      </c>
      <c r="K20" s="39"/>
      <c r="L20" s="19"/>
    </row>
    <row r="21" spans="1:12">
      <c r="A21" s="39">
        <v>16</v>
      </c>
      <c r="B21" s="39" t="s">
        <v>213</v>
      </c>
      <c r="C21" s="39">
        <v>2399</v>
      </c>
      <c r="D21" s="39" t="s">
        <v>222</v>
      </c>
      <c r="E21" s="19">
        <v>2349.318143339266</v>
      </c>
      <c r="F21" s="39">
        <v>1297</v>
      </c>
      <c r="G21" s="39" t="s">
        <v>13</v>
      </c>
      <c r="H21" s="19">
        <v>1318.5102276514824</v>
      </c>
      <c r="J21" s="39">
        <v>511</v>
      </c>
      <c r="K21" s="39"/>
      <c r="L21" s="19"/>
    </row>
    <row r="22" spans="1:12">
      <c r="A22" s="39">
        <v>17</v>
      </c>
      <c r="B22" s="39" t="s">
        <v>92</v>
      </c>
      <c r="C22" s="39">
        <v>2357</v>
      </c>
      <c r="D22" s="39" t="s">
        <v>222</v>
      </c>
      <c r="E22" s="19">
        <v>2350.3181433392701</v>
      </c>
      <c r="F22" s="39">
        <v>962</v>
      </c>
      <c r="G22" s="39" t="s">
        <v>9</v>
      </c>
      <c r="H22" s="19">
        <v>987.76660251225007</v>
      </c>
      <c r="J22" s="39">
        <v>560</v>
      </c>
      <c r="K22" s="39">
        <v>173</v>
      </c>
      <c r="L22" s="20"/>
    </row>
    <row r="23" spans="1:12">
      <c r="I23" s="38"/>
      <c r="J23" s="19"/>
      <c r="K23" s="38"/>
      <c r="L23" s="19"/>
    </row>
    <row r="24" spans="1:12">
      <c r="I24" s="38"/>
      <c r="J24" s="19"/>
      <c r="K24" s="38"/>
      <c r="L24" s="19"/>
    </row>
    <row r="25" spans="1:12">
      <c r="K25" s="38"/>
      <c r="L25" s="19"/>
    </row>
    <row r="26" spans="1:12">
      <c r="K26" s="38"/>
      <c r="L26" s="19"/>
    </row>
    <row r="27" spans="1:12">
      <c r="I27" s="38"/>
      <c r="J27" s="19"/>
      <c r="K27" s="38"/>
      <c r="L27" s="19"/>
    </row>
    <row r="28" spans="1:12">
      <c r="I28" s="12"/>
      <c r="J28" s="20"/>
      <c r="K28" s="38"/>
      <c r="L28" s="19"/>
    </row>
    <row r="29" spans="1:12">
      <c r="K29" s="38"/>
      <c r="L29" s="19"/>
    </row>
    <row r="30" spans="1:12">
      <c r="K30" s="38"/>
      <c r="L30" s="19"/>
    </row>
    <row r="31" spans="1:12">
      <c r="K31" s="38"/>
      <c r="L31" s="19"/>
    </row>
    <row r="32" spans="1:12">
      <c r="K32" s="38"/>
      <c r="L32" s="19"/>
    </row>
    <row r="33" spans="11:12">
      <c r="K33" s="38"/>
      <c r="L33" s="19"/>
    </row>
    <row r="34" spans="11:12">
      <c r="K34" s="12"/>
      <c r="L34" s="20"/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T34"/>
  <sheetViews>
    <sheetView topLeftCell="C1" workbookViewId="0">
      <selection activeCell="G30" sqref="G30"/>
    </sheetView>
  </sheetViews>
  <sheetFormatPr baseColWidth="10" defaultRowHeight="15"/>
  <cols>
    <col min="1" max="1" width="8.5703125" customWidth="1"/>
    <col min="5" max="6" width="12.28515625" bestFit="1" customWidth="1"/>
    <col min="7" max="7" width="13.28515625" bestFit="1" customWidth="1"/>
    <col min="13" max="13" width="7.5703125" customWidth="1"/>
    <col min="14" max="14" width="8.7109375" customWidth="1"/>
    <col min="15" max="15" width="9.5703125" customWidth="1"/>
    <col min="16" max="16" width="6.5703125" customWidth="1"/>
    <col min="17" max="17" width="9" customWidth="1"/>
    <col min="18" max="18" width="12.28515625" bestFit="1" customWidth="1"/>
  </cols>
  <sheetData>
    <row r="1" spans="1:20" ht="15.75">
      <c r="A1" s="73" t="s">
        <v>171</v>
      </c>
    </row>
    <row r="3" spans="1:20">
      <c r="A3" s="38" t="s">
        <v>172</v>
      </c>
    </row>
    <row r="6" spans="1:20">
      <c r="A6" s="65" t="s">
        <v>71</v>
      </c>
      <c r="B6" s="65" t="s">
        <v>195</v>
      </c>
      <c r="C6" s="65" t="s">
        <v>196</v>
      </c>
      <c r="D6" s="65" t="s">
        <v>197</v>
      </c>
      <c r="E6" s="65" t="s">
        <v>198</v>
      </c>
      <c r="F6" s="65" t="s">
        <v>199</v>
      </c>
      <c r="G6" s="65" t="s">
        <v>200</v>
      </c>
      <c r="H6" s="39"/>
      <c r="I6" s="65" t="s">
        <v>71</v>
      </c>
      <c r="J6" s="65" t="s">
        <v>195</v>
      </c>
      <c r="K6" s="65" t="s">
        <v>198</v>
      </c>
      <c r="N6" s="56" t="s">
        <v>195</v>
      </c>
      <c r="O6" s="56" t="s">
        <v>201</v>
      </c>
      <c r="P6" s="39" t="s">
        <v>153</v>
      </c>
      <c r="Q6" s="39" t="s">
        <v>136</v>
      </c>
      <c r="R6" s="39" t="s">
        <v>74</v>
      </c>
    </row>
    <row r="7" spans="1:20">
      <c r="A7" s="65" t="s">
        <v>173</v>
      </c>
      <c r="B7" s="65">
        <v>106</v>
      </c>
      <c r="C7" s="65">
        <v>132</v>
      </c>
      <c r="D7" s="65">
        <v>114</v>
      </c>
      <c r="E7" s="65"/>
      <c r="F7" s="65"/>
      <c r="G7" s="65"/>
      <c r="H7" s="39"/>
      <c r="I7" s="65" t="s">
        <v>173</v>
      </c>
      <c r="J7" s="65">
        <v>106</v>
      </c>
      <c r="K7" s="65"/>
      <c r="M7" s="65" t="s">
        <v>173</v>
      </c>
      <c r="N7" s="65">
        <v>106</v>
      </c>
      <c r="O7" s="69"/>
      <c r="P7" s="58" t="s">
        <v>208</v>
      </c>
      <c r="Q7" s="74">
        <v>103.82617439498632</v>
      </c>
      <c r="R7" s="69">
        <f t="shared" ref="R7:R28" si="0">1200*LN(N7/Q7)/LN(2)</f>
        <v>35.872889246246636</v>
      </c>
      <c r="S7" s="51"/>
      <c r="T7" s="52"/>
    </row>
    <row r="8" spans="1:20">
      <c r="A8" s="65" t="s">
        <v>174</v>
      </c>
      <c r="B8" s="65">
        <v>114</v>
      </c>
      <c r="C8" s="65">
        <v>146</v>
      </c>
      <c r="D8" s="65">
        <v>140</v>
      </c>
      <c r="E8" s="69">
        <f>1200*LN(B8/B7)/LN(2)</f>
        <v>125.96347152185096</v>
      </c>
      <c r="F8" s="69">
        <f>1200*LN(C8/C7)/LN(2)</f>
        <v>174.51652742587643</v>
      </c>
      <c r="G8" s="69">
        <f>1200*LN(D8/D7)/LN(2)</f>
        <v>355.67160333626981</v>
      </c>
      <c r="H8" s="39"/>
      <c r="I8" s="65" t="s">
        <v>174</v>
      </c>
      <c r="J8" s="65">
        <v>114</v>
      </c>
      <c r="K8" s="69">
        <f>1200*LN(J8/J7)/LN(2)</f>
        <v>125.96347152185096</v>
      </c>
      <c r="M8" s="65" t="s">
        <v>174</v>
      </c>
      <c r="N8" s="65">
        <v>114</v>
      </c>
      <c r="O8" s="69">
        <f>1200*LN(N8/N7)/LN(2)</f>
        <v>125.96347152185096</v>
      </c>
      <c r="P8" s="58" t="s">
        <v>8</v>
      </c>
      <c r="Q8" s="74">
        <v>116.54094037952252</v>
      </c>
      <c r="R8" s="69">
        <f t="shared" si="0"/>
        <v>-38.163639231902231</v>
      </c>
      <c r="S8" s="51"/>
      <c r="T8" s="52"/>
    </row>
    <row r="9" spans="1:20">
      <c r="A9" s="65" t="s">
        <v>175</v>
      </c>
      <c r="B9" s="65">
        <v>122</v>
      </c>
      <c r="C9" s="65">
        <v>156</v>
      </c>
      <c r="D9" s="65">
        <v>157</v>
      </c>
      <c r="E9" s="69">
        <f t="shared" ref="E9:E28" si="1">1200*LN(B9/B8)/LN(2)</f>
        <v>117.4167880777735</v>
      </c>
      <c r="F9" s="69">
        <f t="shared" ref="F9:F28" si="2">1200*LN(C9/C8)/LN(2)</f>
        <v>114.69319197867743</v>
      </c>
      <c r="G9" s="69">
        <f t="shared" ref="G9:G28" si="3">1200*LN(D9/D8)/LN(2)</f>
        <v>198.40527833599268</v>
      </c>
      <c r="H9" s="39"/>
      <c r="I9" s="65" t="s">
        <v>175</v>
      </c>
      <c r="J9" s="65">
        <v>122</v>
      </c>
      <c r="K9" s="69">
        <f t="shared" ref="K9:K28" si="4">1200*LN(J9/J8)/LN(2)</f>
        <v>117.4167880777735</v>
      </c>
      <c r="M9" s="65" t="s">
        <v>175</v>
      </c>
      <c r="N9" s="65">
        <v>122</v>
      </c>
      <c r="O9" s="69">
        <f>1200*LN(N9/N8)/LN(2)</f>
        <v>117.4167880777735</v>
      </c>
      <c r="P9" s="58" t="s">
        <v>9</v>
      </c>
      <c r="Q9" s="74">
        <v>123.47082531403107</v>
      </c>
      <c r="R9" s="69">
        <f t="shared" si="0"/>
        <v>-20.74685115412872</v>
      </c>
      <c r="S9" s="51"/>
      <c r="T9" s="51"/>
    </row>
    <row r="10" spans="1:20">
      <c r="A10" s="65" t="s">
        <v>176</v>
      </c>
      <c r="B10" s="65">
        <v>133.5</v>
      </c>
      <c r="C10" s="65">
        <v>184</v>
      </c>
      <c r="D10" s="65">
        <v>166</v>
      </c>
      <c r="E10" s="69">
        <f t="shared" si="1"/>
        <v>155.95031294960108</v>
      </c>
      <c r="F10" s="69">
        <f t="shared" si="2"/>
        <v>285.79168463371747</v>
      </c>
      <c r="G10" s="69">
        <f t="shared" si="3"/>
        <v>96.502418946357295</v>
      </c>
      <c r="H10" s="39"/>
      <c r="I10" s="65" t="s">
        <v>176</v>
      </c>
      <c r="J10" s="65">
        <v>133.5</v>
      </c>
      <c r="K10" s="69">
        <f t="shared" si="4"/>
        <v>155.95031294960108</v>
      </c>
      <c r="M10" s="65" t="s">
        <v>176</v>
      </c>
      <c r="N10" s="65">
        <v>133.5</v>
      </c>
      <c r="O10" s="69">
        <f>1200*LN(N10/N9)/LN(2)</f>
        <v>155.95031294960108</v>
      </c>
      <c r="P10" s="58" t="s">
        <v>69</v>
      </c>
      <c r="Q10" s="74">
        <v>130.81278265029937</v>
      </c>
      <c r="R10" s="69">
        <f t="shared" si="0"/>
        <v>35.203461795472649</v>
      </c>
      <c r="S10" s="51"/>
      <c r="T10" s="51"/>
    </row>
    <row r="11" spans="1:20">
      <c r="A11" s="65" t="s">
        <v>177</v>
      </c>
      <c r="B11" s="65">
        <v>160</v>
      </c>
      <c r="C11" s="65">
        <v>188</v>
      </c>
      <c r="D11" s="65">
        <v>184</v>
      </c>
      <c r="E11" s="69">
        <f t="shared" si="1"/>
        <v>313.47859583977015</v>
      </c>
      <c r="F11" s="69">
        <f t="shared" si="2"/>
        <v>37.232274744749567</v>
      </c>
      <c r="G11" s="69">
        <f t="shared" si="3"/>
        <v>178.22702965210576</v>
      </c>
      <c r="H11" s="39"/>
      <c r="I11" s="65" t="s">
        <v>177</v>
      </c>
      <c r="J11" s="65">
        <v>160</v>
      </c>
      <c r="K11" s="69">
        <f t="shared" si="4"/>
        <v>313.47859583977015</v>
      </c>
      <c r="M11" s="65" t="s">
        <v>177</v>
      </c>
      <c r="N11" s="65">
        <v>160</v>
      </c>
      <c r="O11" s="69">
        <f>1200*LN(N11/N10)/LN(2)</f>
        <v>313.47859583977015</v>
      </c>
      <c r="P11" s="58" t="s">
        <v>206</v>
      </c>
      <c r="Q11" s="74">
        <v>155.56349186104052</v>
      </c>
      <c r="R11" s="69">
        <f t="shared" si="0"/>
        <v>48.682057635242664</v>
      </c>
      <c r="S11" s="51"/>
      <c r="T11" s="52"/>
    </row>
    <row r="12" spans="1:20">
      <c r="A12" s="65" t="s">
        <v>178</v>
      </c>
      <c r="B12" s="65">
        <v>170</v>
      </c>
      <c r="C12" s="65">
        <v>206</v>
      </c>
      <c r="D12" s="65">
        <v>201</v>
      </c>
      <c r="E12" s="69">
        <f t="shared" si="1"/>
        <v>104.95540950040728</v>
      </c>
      <c r="F12" s="69">
        <f t="shared" si="2"/>
        <v>158.29401060669719</v>
      </c>
      <c r="G12" s="69">
        <f t="shared" si="3"/>
        <v>152.98768214629902</v>
      </c>
      <c r="H12" s="39"/>
      <c r="I12" s="65" t="s">
        <v>178</v>
      </c>
      <c r="J12" s="65">
        <v>170</v>
      </c>
      <c r="K12" s="69">
        <f t="shared" si="4"/>
        <v>104.95540950040728</v>
      </c>
      <c r="M12" s="65" t="s">
        <v>178</v>
      </c>
      <c r="N12" s="65">
        <v>170</v>
      </c>
      <c r="O12" s="69">
        <f>1200*LN(N12/N11)/LN(2)</f>
        <v>104.95540950040728</v>
      </c>
      <c r="P12" s="58" t="s">
        <v>207</v>
      </c>
      <c r="Q12" s="74">
        <v>174.61411571650203</v>
      </c>
      <c r="R12" s="69">
        <f t="shared" si="0"/>
        <v>-46.3625328643503</v>
      </c>
      <c r="S12" s="51"/>
      <c r="T12" s="51"/>
    </row>
    <row r="13" spans="1:20">
      <c r="A13" s="65" t="s">
        <v>179</v>
      </c>
      <c r="B13" s="65">
        <v>216</v>
      </c>
      <c r="C13" s="65">
        <v>256</v>
      </c>
      <c r="D13" s="65">
        <v>256</v>
      </c>
      <c r="E13" s="69">
        <f t="shared" si="1"/>
        <v>414.59587923092005</v>
      </c>
      <c r="F13" s="69">
        <f t="shared" si="2"/>
        <v>376.19936738013786</v>
      </c>
      <c r="G13" s="69">
        <f t="shared" si="3"/>
        <v>418.73797058528561</v>
      </c>
      <c r="H13" s="39"/>
      <c r="I13" s="65" t="s">
        <v>180</v>
      </c>
      <c r="J13" s="65">
        <v>198</v>
      </c>
      <c r="K13" s="69">
        <f t="shared" si="4"/>
        <v>263.95882073028957</v>
      </c>
      <c r="M13" s="65" t="s">
        <v>180</v>
      </c>
      <c r="N13" s="65">
        <v>198</v>
      </c>
      <c r="O13" s="69"/>
      <c r="P13" s="58" t="s">
        <v>94</v>
      </c>
      <c r="Q13" s="21">
        <v>195.99771799087475</v>
      </c>
      <c r="R13" s="69">
        <f t="shared" si="0"/>
        <v>17.596287865939161</v>
      </c>
      <c r="S13" s="51"/>
      <c r="T13" s="52"/>
    </row>
    <row r="14" spans="1:20">
      <c r="A14" s="65" t="s">
        <v>180</v>
      </c>
      <c r="B14" s="65">
        <v>198</v>
      </c>
      <c r="C14" s="65">
        <v>232</v>
      </c>
      <c r="D14" s="65">
        <v>224</v>
      </c>
      <c r="E14" s="69">
        <f t="shared" si="1"/>
        <v>-150.63705850063079</v>
      </c>
      <c r="F14" s="69">
        <f t="shared" si="2"/>
        <v>-170.42280584691349</v>
      </c>
      <c r="G14" s="69">
        <f t="shared" si="3"/>
        <v>-231.17409353087507</v>
      </c>
      <c r="H14" s="39"/>
      <c r="I14" s="65" t="s">
        <v>179</v>
      </c>
      <c r="J14" s="65">
        <v>216</v>
      </c>
      <c r="K14" s="69">
        <f t="shared" si="4"/>
        <v>150.63705850063062</v>
      </c>
      <c r="M14" s="65" t="s">
        <v>179</v>
      </c>
      <c r="N14" s="65">
        <v>216</v>
      </c>
      <c r="O14" s="69">
        <f t="shared" ref="O14:O28" si="5">1200*LN(N14/N13)/LN(2)</f>
        <v>150.63705850063062</v>
      </c>
      <c r="P14" s="58" t="s">
        <v>93</v>
      </c>
      <c r="Q14" s="74">
        <v>220.00000000000011</v>
      </c>
      <c r="R14" s="69">
        <f t="shared" si="0"/>
        <v>-31.766653633430263</v>
      </c>
      <c r="S14" s="51"/>
      <c r="T14" s="51"/>
    </row>
    <row r="15" spans="1:20">
      <c r="A15" s="65" t="s">
        <v>181</v>
      </c>
      <c r="B15" s="65">
        <v>284</v>
      </c>
      <c r="C15" s="65">
        <v>348</v>
      </c>
      <c r="D15" s="65">
        <v>332</v>
      </c>
      <c r="E15" s="69">
        <f t="shared" si="1"/>
        <v>624.4685993100868</v>
      </c>
      <c r="F15" s="69">
        <f t="shared" si="2"/>
        <v>701.95500086538743</v>
      </c>
      <c r="G15" s="69">
        <f t="shared" si="3"/>
        <v>681.22141114718488</v>
      </c>
      <c r="H15" s="39"/>
      <c r="I15" s="65" t="s">
        <v>186</v>
      </c>
      <c r="J15" s="65">
        <v>234</v>
      </c>
      <c r="K15" s="69">
        <f t="shared" si="4"/>
        <v>138.57266090392307</v>
      </c>
      <c r="M15" s="65" t="s">
        <v>186</v>
      </c>
      <c r="N15" s="65">
        <v>234</v>
      </c>
      <c r="O15" s="69">
        <f t="shared" si="5"/>
        <v>138.57266090392307</v>
      </c>
      <c r="P15" s="58" t="s">
        <v>83</v>
      </c>
      <c r="Q15" s="21">
        <v>233.08188075904508</v>
      </c>
      <c r="R15" s="69">
        <f t="shared" si="0"/>
        <v>6.8060072704930707</v>
      </c>
      <c r="S15" s="51"/>
      <c r="T15" s="51"/>
    </row>
    <row r="16" spans="1:20">
      <c r="A16" s="65" t="s">
        <v>182</v>
      </c>
      <c r="B16" s="65">
        <v>244</v>
      </c>
      <c r="C16" s="65">
        <v>308</v>
      </c>
      <c r="D16" s="65">
        <v>310</v>
      </c>
      <c r="E16" s="69">
        <f t="shared" si="1"/>
        <v>-262.81173833015504</v>
      </c>
      <c r="F16" s="69">
        <f t="shared" si="2"/>
        <v>-211.38834618459228</v>
      </c>
      <c r="G16" s="69">
        <f t="shared" si="3"/>
        <v>-118.69803128722472</v>
      </c>
      <c r="H16" s="39"/>
      <c r="I16" s="65" t="s">
        <v>182</v>
      </c>
      <c r="J16" s="65">
        <v>244</v>
      </c>
      <c r="K16" s="69">
        <f t="shared" si="4"/>
        <v>72.447141575378211</v>
      </c>
      <c r="M16" s="65" t="s">
        <v>182</v>
      </c>
      <c r="N16" s="65">
        <v>244</v>
      </c>
      <c r="O16" s="69">
        <f t="shared" si="5"/>
        <v>72.447141575378211</v>
      </c>
      <c r="P16" s="58" t="s">
        <v>70</v>
      </c>
      <c r="Q16" s="21">
        <v>246.94165062806221</v>
      </c>
      <c r="R16" s="69">
        <f t="shared" si="0"/>
        <v>-20.746851154129111</v>
      </c>
      <c r="S16" s="51"/>
      <c r="T16" s="52"/>
    </row>
    <row r="17" spans="1:20">
      <c r="A17" s="65" t="s">
        <v>183</v>
      </c>
      <c r="B17" s="65">
        <v>310</v>
      </c>
      <c r="C17" s="65">
        <v>384</v>
      </c>
      <c r="D17" s="65">
        <v>370</v>
      </c>
      <c r="E17" s="69">
        <f t="shared" si="1"/>
        <v>414.46448125362144</v>
      </c>
      <c r="F17" s="69">
        <f t="shared" si="2"/>
        <v>381.81115203150574</v>
      </c>
      <c r="G17" s="69">
        <f t="shared" si="3"/>
        <v>306.30846629048955</v>
      </c>
      <c r="H17" s="39"/>
      <c r="I17" s="65" t="s">
        <v>181</v>
      </c>
      <c r="J17" s="65">
        <v>284</v>
      </c>
      <c r="K17" s="69">
        <f t="shared" si="4"/>
        <v>262.81173833015487</v>
      </c>
      <c r="M17" s="65" t="s">
        <v>181</v>
      </c>
      <c r="N17" s="65">
        <v>284</v>
      </c>
      <c r="O17" s="69">
        <f t="shared" si="5"/>
        <v>262.81173833015487</v>
      </c>
      <c r="P17" s="58" t="s">
        <v>69</v>
      </c>
      <c r="Q17" s="21">
        <v>277.1826309768723</v>
      </c>
      <c r="R17" s="69">
        <f t="shared" si="0"/>
        <v>42.064887176025714</v>
      </c>
      <c r="S17" s="51"/>
      <c r="T17" s="51"/>
    </row>
    <row r="18" spans="1:20">
      <c r="A18" s="65" t="s">
        <v>184</v>
      </c>
      <c r="B18" s="65">
        <v>328</v>
      </c>
      <c r="C18" s="65">
        <v>416</v>
      </c>
      <c r="D18" s="65">
        <v>408</v>
      </c>
      <c r="E18" s="69">
        <f t="shared" si="1"/>
        <v>97.713119212615425</v>
      </c>
      <c r="F18" s="69">
        <f t="shared" si="2"/>
        <v>138.57266090392307</v>
      </c>
      <c r="G18" s="69">
        <f t="shared" si="3"/>
        <v>169.25265774622025</v>
      </c>
      <c r="H18" s="39"/>
      <c r="I18" s="65" t="s">
        <v>183</v>
      </c>
      <c r="J18" s="65">
        <v>310</v>
      </c>
      <c r="K18" s="69">
        <f t="shared" si="4"/>
        <v>151.65274292346675</v>
      </c>
      <c r="M18" s="65" t="s">
        <v>183</v>
      </c>
      <c r="N18" s="65">
        <v>310</v>
      </c>
      <c r="O18" s="69">
        <f t="shared" si="5"/>
        <v>151.65274292346675</v>
      </c>
      <c r="P18" s="58" t="s">
        <v>68</v>
      </c>
      <c r="Q18" s="21">
        <v>311.12698372208121</v>
      </c>
      <c r="R18" s="69">
        <f t="shared" si="0"/>
        <v>-6.2823699005081712</v>
      </c>
      <c r="S18" s="51"/>
      <c r="T18" s="51"/>
    </row>
    <row r="19" spans="1:20">
      <c r="A19" s="65" t="s">
        <v>185</v>
      </c>
      <c r="B19" s="65">
        <v>382</v>
      </c>
      <c r="C19" s="65">
        <v>448</v>
      </c>
      <c r="D19" s="65">
        <v>456</v>
      </c>
      <c r="E19" s="69">
        <f t="shared" si="1"/>
        <v>263.8521881011979</v>
      </c>
      <c r="F19" s="69">
        <f t="shared" si="2"/>
        <v>128.29824469981426</v>
      </c>
      <c r="G19" s="69">
        <f t="shared" si="3"/>
        <v>192.55760663189534</v>
      </c>
      <c r="H19" s="39"/>
      <c r="I19" s="65" t="s">
        <v>184</v>
      </c>
      <c r="J19" s="65">
        <v>328</v>
      </c>
      <c r="K19" s="69">
        <f t="shared" si="4"/>
        <v>97.713119212615425</v>
      </c>
      <c r="M19" s="65" t="s">
        <v>184</v>
      </c>
      <c r="N19" s="65">
        <v>328</v>
      </c>
      <c r="O19" s="69">
        <f t="shared" si="5"/>
        <v>97.713119212615425</v>
      </c>
      <c r="P19" s="58" t="s">
        <v>95</v>
      </c>
      <c r="Q19" s="21">
        <v>329.62755691287026</v>
      </c>
      <c r="R19" s="69">
        <f t="shared" si="0"/>
        <v>-8.5692506878929091</v>
      </c>
      <c r="S19" s="51"/>
      <c r="T19" s="51"/>
    </row>
    <row r="20" spans="1:20">
      <c r="A20" s="65" t="s">
        <v>186</v>
      </c>
      <c r="B20" s="65">
        <v>234</v>
      </c>
      <c r="C20" s="65">
        <v>284</v>
      </c>
      <c r="D20" s="65">
        <v>176</v>
      </c>
      <c r="E20" s="69">
        <f t="shared" si="1"/>
        <v>-848.47693014281299</v>
      </c>
      <c r="F20" s="69">
        <f t="shared" si="2"/>
        <v>-789.12936306350662</v>
      </c>
      <c r="G20" s="69">
        <f t="shared" si="3"/>
        <v>-1648.1500746329334</v>
      </c>
      <c r="H20" s="39"/>
      <c r="I20" s="65" t="s">
        <v>187</v>
      </c>
      <c r="J20" s="65">
        <v>380</v>
      </c>
      <c r="K20" s="69">
        <f t="shared" si="4"/>
        <v>254.76432445543682</v>
      </c>
      <c r="M20" s="65" t="s">
        <v>187</v>
      </c>
      <c r="N20" s="65">
        <v>380</v>
      </c>
      <c r="O20" s="69">
        <f t="shared" si="5"/>
        <v>254.76432445543682</v>
      </c>
      <c r="P20" s="65" t="s">
        <v>67</v>
      </c>
      <c r="Q20" s="21">
        <v>369.9944227116348</v>
      </c>
      <c r="R20" s="69">
        <f t="shared" si="0"/>
        <v>46.195073767544073</v>
      </c>
      <c r="S20" s="51"/>
      <c r="T20" s="52"/>
    </row>
    <row r="21" spans="1:20">
      <c r="A21" s="65" t="s">
        <v>187</v>
      </c>
      <c r="B21" s="65">
        <v>380</v>
      </c>
      <c r="C21" s="65">
        <v>448</v>
      </c>
      <c r="D21" s="65">
        <v>460</v>
      </c>
      <c r="E21" s="69">
        <f t="shared" si="1"/>
        <v>839.389066497052</v>
      </c>
      <c r="F21" s="69">
        <f t="shared" si="2"/>
        <v>789.12936306350628</v>
      </c>
      <c r="G21" s="69">
        <f t="shared" si="3"/>
        <v>1663.2701187684936</v>
      </c>
      <c r="H21" s="39"/>
      <c r="I21" s="65" t="s">
        <v>185</v>
      </c>
      <c r="J21" s="65">
        <v>382</v>
      </c>
      <c r="K21" s="69">
        <f t="shared" si="4"/>
        <v>9.0878636457610451</v>
      </c>
      <c r="M21" s="65" t="s">
        <v>185</v>
      </c>
      <c r="N21" s="65">
        <v>382</v>
      </c>
      <c r="O21" s="69">
        <f t="shared" si="5"/>
        <v>9.0878636457610451</v>
      </c>
      <c r="P21" s="65" t="s">
        <v>90</v>
      </c>
      <c r="Q21" s="21">
        <v>391.99543598174972</v>
      </c>
      <c r="R21" s="69">
        <f t="shared" si="0"/>
        <v>-44.717062586694993</v>
      </c>
      <c r="S21" s="51"/>
      <c r="T21" s="51"/>
    </row>
    <row r="22" spans="1:20">
      <c r="A22" s="65" t="s">
        <v>188</v>
      </c>
      <c r="B22" s="65">
        <v>424</v>
      </c>
      <c r="C22" s="65">
        <v>512</v>
      </c>
      <c r="D22" s="65">
        <v>512</v>
      </c>
      <c r="E22" s="69">
        <f t="shared" si="1"/>
        <v>189.67781547870152</v>
      </c>
      <c r="F22" s="69">
        <f t="shared" si="2"/>
        <v>231.17409353087498</v>
      </c>
      <c r="G22" s="69">
        <f t="shared" si="3"/>
        <v>185.41193886674978</v>
      </c>
      <c r="H22" s="39"/>
      <c r="I22" s="65" t="s">
        <v>188</v>
      </c>
      <c r="J22" s="65">
        <v>424</v>
      </c>
      <c r="K22" s="69">
        <f t="shared" si="4"/>
        <v>180.5899518329407</v>
      </c>
      <c r="M22" s="65" t="s">
        <v>188</v>
      </c>
      <c r="N22" s="65">
        <v>424</v>
      </c>
      <c r="O22" s="69">
        <f t="shared" si="5"/>
        <v>180.5899518329407</v>
      </c>
      <c r="P22" s="58" t="s">
        <v>66</v>
      </c>
      <c r="Q22" s="21">
        <v>415.30469757994558</v>
      </c>
      <c r="R22" s="69">
        <f t="shared" si="0"/>
        <v>35.872889246245514</v>
      </c>
      <c r="S22" s="51"/>
      <c r="T22" s="51"/>
    </row>
    <row r="23" spans="1:20">
      <c r="A23" s="65" t="s">
        <v>189</v>
      </c>
      <c r="B23" s="65">
        <v>464</v>
      </c>
      <c r="C23" s="65">
        <v>568</v>
      </c>
      <c r="D23" s="65">
        <v>576</v>
      </c>
      <c r="E23" s="69">
        <f t="shared" si="1"/>
        <v>156.07264867724749</v>
      </c>
      <c r="F23" s="69">
        <f t="shared" si="2"/>
        <v>179.69654340561846</v>
      </c>
      <c r="G23" s="69">
        <f t="shared" si="3"/>
        <v>203.91000173077487</v>
      </c>
      <c r="H23" s="39"/>
      <c r="I23" s="65" t="s">
        <v>189</v>
      </c>
      <c r="J23" s="65">
        <v>464</v>
      </c>
      <c r="K23" s="69">
        <f t="shared" si="4"/>
        <v>156.07264867724749</v>
      </c>
      <c r="M23" s="65" t="s">
        <v>189</v>
      </c>
      <c r="N23" s="65">
        <v>464</v>
      </c>
      <c r="O23" s="69">
        <f t="shared" si="5"/>
        <v>156.07264867724749</v>
      </c>
      <c r="P23" s="65" t="s">
        <v>65</v>
      </c>
      <c r="Q23" s="21">
        <v>466.1637615180905</v>
      </c>
      <c r="R23" s="69">
        <f t="shared" si="0"/>
        <v>-8.0544620765071286</v>
      </c>
      <c r="T23" s="52"/>
    </row>
    <row r="24" spans="1:20">
      <c r="A24" s="65" t="s">
        <v>190</v>
      </c>
      <c r="B24" s="65">
        <v>504</v>
      </c>
      <c r="C24" s="65">
        <v>608</v>
      </c>
      <c r="D24" s="65">
        <v>648</v>
      </c>
      <c r="E24" s="69">
        <f t="shared" si="1"/>
        <v>143.15871404681332</v>
      </c>
      <c r="F24" s="69">
        <f t="shared" si="2"/>
        <v>117.81647272668398</v>
      </c>
      <c r="G24" s="69">
        <f t="shared" si="3"/>
        <v>203.91000173077487</v>
      </c>
      <c r="H24" s="39"/>
      <c r="I24" s="65" t="s">
        <v>190</v>
      </c>
      <c r="J24" s="65">
        <v>504</v>
      </c>
      <c r="K24" s="69">
        <f t="shared" si="4"/>
        <v>143.15871404681332</v>
      </c>
      <c r="M24" s="65" t="s">
        <v>190</v>
      </c>
      <c r="N24" s="65">
        <v>504</v>
      </c>
      <c r="O24" s="69">
        <f t="shared" si="5"/>
        <v>143.15871404681332</v>
      </c>
      <c r="P24" s="65" t="s">
        <v>77</v>
      </c>
      <c r="Q24" s="21">
        <v>493.88330125612475</v>
      </c>
      <c r="R24" s="69">
        <f t="shared" si="0"/>
        <v>35.104251970306002</v>
      </c>
      <c r="T24" s="52"/>
    </row>
    <row r="25" spans="1:20">
      <c r="A25" s="65" t="s">
        <v>191</v>
      </c>
      <c r="B25" s="65">
        <v>572</v>
      </c>
      <c r="C25" s="65">
        <v>688</v>
      </c>
      <c r="D25" s="65">
        <v>712</v>
      </c>
      <c r="E25" s="69">
        <f t="shared" si="1"/>
        <v>219.10969593416746</v>
      </c>
      <c r="F25" s="69">
        <f t="shared" si="2"/>
        <v>214.00468951021492</v>
      </c>
      <c r="G25" s="69">
        <f t="shared" si="3"/>
        <v>163.06011369812762</v>
      </c>
      <c r="H25" s="39"/>
      <c r="I25" s="65" t="s">
        <v>191</v>
      </c>
      <c r="J25" s="65">
        <v>572</v>
      </c>
      <c r="K25" s="69">
        <f t="shared" si="4"/>
        <v>219.10969593416746</v>
      </c>
      <c r="M25" s="65" t="s">
        <v>191</v>
      </c>
      <c r="N25" s="65">
        <v>572</v>
      </c>
      <c r="O25" s="69">
        <f t="shared" si="5"/>
        <v>219.10969593416746</v>
      </c>
      <c r="P25" s="65" t="s">
        <v>202</v>
      </c>
      <c r="Q25" s="21">
        <v>587.32953583481594</v>
      </c>
      <c r="R25" s="69">
        <f t="shared" si="0"/>
        <v>-45.786052095526571</v>
      </c>
      <c r="T25" s="51"/>
    </row>
    <row r="26" spans="1:20">
      <c r="A26" s="65" t="s">
        <v>192</v>
      </c>
      <c r="B26" s="65">
        <v>624</v>
      </c>
      <c r="C26" s="65">
        <v>760</v>
      </c>
      <c r="D26" s="65">
        <v>780</v>
      </c>
      <c r="E26" s="69">
        <f t="shared" si="1"/>
        <v>150.63705850063062</v>
      </c>
      <c r="F26" s="69">
        <f t="shared" si="2"/>
        <v>172.30902435461985</v>
      </c>
      <c r="G26" s="69">
        <f t="shared" si="3"/>
        <v>157.9162593398554</v>
      </c>
      <c r="H26" s="39"/>
      <c r="I26" s="65" t="s">
        <v>192</v>
      </c>
      <c r="J26" s="65">
        <v>624</v>
      </c>
      <c r="K26" s="69">
        <f t="shared" si="4"/>
        <v>150.63705850063062</v>
      </c>
      <c r="M26" s="65" t="s">
        <v>192</v>
      </c>
      <c r="N26" s="65">
        <v>624</v>
      </c>
      <c r="O26" s="69">
        <f t="shared" si="5"/>
        <v>150.63705850063062</v>
      </c>
      <c r="P26" s="65" t="s">
        <v>203</v>
      </c>
      <c r="Q26" s="21">
        <v>622.25396744416275</v>
      </c>
      <c r="R26" s="69">
        <f t="shared" si="0"/>
        <v>4.8510064051037665</v>
      </c>
      <c r="T26" s="51"/>
    </row>
    <row r="27" spans="1:20">
      <c r="A27" s="65" t="s">
        <v>193</v>
      </c>
      <c r="B27" s="65">
        <v>674</v>
      </c>
      <c r="C27" s="65">
        <v>840</v>
      </c>
      <c r="D27" s="65">
        <v>844</v>
      </c>
      <c r="E27" s="69">
        <f t="shared" si="1"/>
        <v>133.44307478353207</v>
      </c>
      <c r="F27" s="69">
        <f t="shared" si="2"/>
        <v>173.26789120220991</v>
      </c>
      <c r="G27" s="69">
        <f t="shared" si="3"/>
        <v>136.52264994908921</v>
      </c>
      <c r="H27" s="39"/>
      <c r="I27" s="65" t="s">
        <v>193</v>
      </c>
      <c r="J27" s="65">
        <v>674</v>
      </c>
      <c r="K27" s="69">
        <f t="shared" si="4"/>
        <v>133.44307478353207</v>
      </c>
      <c r="M27" s="65" t="s">
        <v>193</v>
      </c>
      <c r="N27" s="65">
        <v>674</v>
      </c>
      <c r="O27" s="69">
        <f t="shared" si="5"/>
        <v>133.44307478353207</v>
      </c>
      <c r="P27" s="65" t="s">
        <v>204</v>
      </c>
      <c r="Q27" s="21">
        <v>698.45646286600891</v>
      </c>
      <c r="R27" s="69">
        <f t="shared" si="0"/>
        <v>-61.70591881136427</v>
      </c>
      <c r="S27" s="19"/>
      <c r="T27" s="52"/>
    </row>
    <row r="28" spans="1:20">
      <c r="A28" s="65" t="s">
        <v>194</v>
      </c>
      <c r="B28" s="65">
        <v>772</v>
      </c>
      <c r="C28" s="65">
        <v>976</v>
      </c>
      <c r="D28" s="65">
        <v>976</v>
      </c>
      <c r="E28" s="69">
        <f t="shared" si="1"/>
        <v>235.02270730346638</v>
      </c>
      <c r="F28" s="69">
        <f t="shared" si="2"/>
        <v>259.79018387611649</v>
      </c>
      <c r="G28" s="69">
        <f t="shared" si="3"/>
        <v>251.56577862684131</v>
      </c>
      <c r="H28" s="39"/>
      <c r="I28" s="65" t="s">
        <v>194</v>
      </c>
      <c r="J28" s="65">
        <v>772</v>
      </c>
      <c r="K28" s="69">
        <f t="shared" si="4"/>
        <v>235.02270730346638</v>
      </c>
      <c r="M28" s="65" t="s">
        <v>194</v>
      </c>
      <c r="N28" s="65">
        <v>772</v>
      </c>
      <c r="O28" s="69">
        <f t="shared" si="5"/>
        <v>235.02270730346638</v>
      </c>
      <c r="P28" s="65" t="s">
        <v>205</v>
      </c>
      <c r="Q28" s="21">
        <v>783.9908719634999</v>
      </c>
      <c r="R28" s="69">
        <f t="shared" si="0"/>
        <v>-26.683211507897838</v>
      </c>
      <c r="S28" s="19"/>
      <c r="T28" s="51"/>
    </row>
    <row r="29" spans="1:20">
      <c r="E29" s="39"/>
      <c r="F29" s="39"/>
      <c r="G29" s="39"/>
      <c r="H29" s="39"/>
      <c r="T29" s="52"/>
    </row>
    <row r="30" spans="1:20">
      <c r="E30" s="39"/>
      <c r="F30" s="39"/>
      <c r="G30" s="39"/>
      <c r="H30" s="39"/>
      <c r="R30" s="38"/>
      <c r="S30" s="19"/>
    </row>
    <row r="32" spans="1:20">
      <c r="R32" s="38"/>
      <c r="S32" s="19"/>
    </row>
    <row r="33" spans="18:19">
      <c r="R33" s="38"/>
      <c r="S33" s="19"/>
    </row>
    <row r="34" spans="18:19">
      <c r="R34" s="38"/>
      <c r="S34" s="19"/>
    </row>
  </sheetData>
  <sortState ref="M7:R28">
    <sortCondition ref="N7:N28"/>
  </sortState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A9" workbookViewId="0">
      <selection activeCell="G10" activeCellId="4" sqref="A10:A16 C10:C16 E10:E16 D10:D16 G10:H16"/>
    </sheetView>
  </sheetViews>
  <sheetFormatPr baseColWidth="10" defaultRowHeight="15"/>
  <cols>
    <col min="1" max="1" width="6.5703125" customWidth="1"/>
    <col min="2" max="2" width="7.28515625" customWidth="1"/>
    <col min="4" max="4" width="10.28515625" customWidth="1"/>
    <col min="5" max="5" width="10.140625" customWidth="1"/>
    <col min="6" max="6" width="10.7109375" customWidth="1"/>
    <col min="7" max="7" width="11.5703125" bestFit="1" customWidth="1"/>
  </cols>
  <sheetData>
    <row r="1" spans="1:9" ht="15.75">
      <c r="A1" s="38" t="s">
        <v>223</v>
      </c>
    </row>
    <row r="3" spans="1:9">
      <c r="A3" s="75"/>
      <c r="B3" s="75" t="s">
        <v>212</v>
      </c>
      <c r="C3" s="75" t="s">
        <v>129</v>
      </c>
      <c r="D3" s="75" t="s">
        <v>72</v>
      </c>
      <c r="E3" s="75" t="s">
        <v>73</v>
      </c>
      <c r="F3" s="65" t="s">
        <v>74</v>
      </c>
      <c r="G3" s="56"/>
    </row>
    <row r="4" spans="1:9">
      <c r="A4" s="65" t="s">
        <v>180</v>
      </c>
      <c r="B4" s="65" t="s">
        <v>94</v>
      </c>
      <c r="C4" s="65">
        <v>195</v>
      </c>
      <c r="D4" s="65"/>
      <c r="E4" s="21">
        <v>195.99771799087475</v>
      </c>
      <c r="F4" s="69">
        <f>1200*LN(C4/E4)/LN(2)</f>
        <v>-8.8352797300595221</v>
      </c>
      <c r="G4" s="67"/>
    </row>
    <row r="5" spans="1:9" s="38" customFormat="1">
      <c r="A5" s="65" t="s">
        <v>179</v>
      </c>
      <c r="B5" s="65" t="s">
        <v>93</v>
      </c>
      <c r="C5" s="65">
        <v>224</v>
      </c>
      <c r="D5" s="69">
        <f t="shared" ref="D5:D9" si="0">1200*LN(C5/C4)/LN(2)</f>
        <v>240.02952996959198</v>
      </c>
      <c r="E5" s="21">
        <v>220</v>
      </c>
      <c r="F5" s="69">
        <f t="shared" ref="F5:F9" si="1">1200*LN(C5/E5)/LN(2)</f>
        <v>31.194250239533226</v>
      </c>
      <c r="G5" s="67"/>
    </row>
    <row r="6" spans="1:9">
      <c r="A6" s="65" t="s">
        <v>181</v>
      </c>
      <c r="B6" s="65" t="s">
        <v>92</v>
      </c>
      <c r="C6" s="65">
        <v>267</v>
      </c>
      <c r="D6" s="69">
        <f t="shared" si="0"/>
        <v>304.00921155593994</v>
      </c>
      <c r="E6" s="74">
        <v>261.62556530059879</v>
      </c>
      <c r="F6" s="69">
        <f t="shared" si="1"/>
        <v>35.203461795472272</v>
      </c>
      <c r="G6" s="67"/>
    </row>
    <row r="7" spans="1:9">
      <c r="A7" s="65" t="s">
        <v>182</v>
      </c>
      <c r="B7" s="65" t="s">
        <v>91</v>
      </c>
      <c r="C7" s="65">
        <v>295</v>
      </c>
      <c r="D7" s="69">
        <f t="shared" si="0"/>
        <v>172.65025507397965</v>
      </c>
      <c r="E7" s="21">
        <v>293.6647679174078</v>
      </c>
      <c r="F7" s="69">
        <f t="shared" si="1"/>
        <v>7.8537168694512989</v>
      </c>
      <c r="G7" s="67"/>
    </row>
    <row r="8" spans="1:9">
      <c r="A8" s="65" t="s">
        <v>183</v>
      </c>
      <c r="B8" s="65" t="s">
        <v>95</v>
      </c>
      <c r="C8" s="65">
        <v>327</v>
      </c>
      <c r="D8" s="69">
        <f t="shared" si="0"/>
        <v>178.29081749865483</v>
      </c>
      <c r="E8" s="21">
        <v>329.62755691287026</v>
      </c>
      <c r="F8" s="69">
        <f t="shared" si="1"/>
        <v>-13.855465631894145</v>
      </c>
      <c r="G8" s="67"/>
    </row>
    <row r="9" spans="1:9">
      <c r="A9" s="65" t="s">
        <v>184</v>
      </c>
      <c r="B9" s="65" t="s">
        <v>215</v>
      </c>
      <c r="C9" s="65">
        <v>358</v>
      </c>
      <c r="D9" s="69">
        <f t="shared" si="0"/>
        <v>156.80274211940872</v>
      </c>
      <c r="E9" s="21">
        <v>349.22823143300423</v>
      </c>
      <c r="F9" s="69">
        <f t="shared" si="1"/>
        <v>42.947276487514408</v>
      </c>
      <c r="G9" s="67"/>
    </row>
    <row r="10" spans="1:9">
      <c r="A10" s="68"/>
      <c r="B10" s="68"/>
      <c r="C10" s="68"/>
      <c r="D10" s="68"/>
      <c r="E10" s="68"/>
      <c r="F10" s="68"/>
      <c r="G10" s="78" t="s">
        <v>229</v>
      </c>
      <c r="H10" s="77"/>
    </row>
    <row r="11" spans="1:9">
      <c r="A11" s="75"/>
      <c r="B11" s="75" t="s">
        <v>212</v>
      </c>
      <c r="C11" s="75" t="s">
        <v>129</v>
      </c>
      <c r="D11" s="75" t="s">
        <v>72</v>
      </c>
      <c r="E11" s="75" t="s">
        <v>232</v>
      </c>
      <c r="F11" s="65" t="s">
        <v>74</v>
      </c>
      <c r="G11" s="66" t="s">
        <v>230</v>
      </c>
      <c r="H11" s="65" t="s">
        <v>231</v>
      </c>
      <c r="I11" s="45"/>
    </row>
    <row r="12" spans="1:9">
      <c r="A12" s="65" t="s">
        <v>180</v>
      </c>
      <c r="B12" s="65" t="s">
        <v>94</v>
      </c>
      <c r="C12" s="65">
        <v>195</v>
      </c>
      <c r="D12" s="65"/>
      <c r="E12" s="7">
        <v>195.99771799087475</v>
      </c>
      <c r="F12" s="69">
        <f>1200*LN(C12/E12)/LN(2)</f>
        <v>-8.8352797300595221</v>
      </c>
      <c r="G12" s="65"/>
      <c r="H12" s="65">
        <v>195</v>
      </c>
    </row>
    <row r="13" spans="1:9">
      <c r="A13" s="65" t="s">
        <v>181</v>
      </c>
      <c r="B13" s="65" t="s">
        <v>92</v>
      </c>
      <c r="C13" s="65">
        <v>267</v>
      </c>
      <c r="D13" s="69">
        <f>1200*LN(C13/C12)/LN(2)</f>
        <v>544.03874152553192</v>
      </c>
      <c r="E13" s="79">
        <v>261.62556530059879</v>
      </c>
      <c r="F13" s="69">
        <f t="shared" ref="F13:F16" si="2">1200*LN(C13/E13)/LN(2)</f>
        <v>35.203461795472272</v>
      </c>
      <c r="G13" s="69">
        <f>3*1200/7</f>
        <v>514.28571428571433</v>
      </c>
      <c r="H13" s="7">
        <f>195*POWER(2,G13/1200)</f>
        <v>262.45053756330947</v>
      </c>
    </row>
    <row r="14" spans="1:9">
      <c r="A14" s="65" t="s">
        <v>182</v>
      </c>
      <c r="B14" s="65" t="s">
        <v>91</v>
      </c>
      <c r="C14" s="65">
        <v>295</v>
      </c>
      <c r="D14" s="69">
        <f t="shared" ref="D14:D16" si="3">1200*LN(C14/C13)/LN(2)</f>
        <v>172.65025507397965</v>
      </c>
      <c r="E14" s="7">
        <v>293.6647679174078</v>
      </c>
      <c r="F14" s="69">
        <f t="shared" si="2"/>
        <v>7.8537168694512989</v>
      </c>
      <c r="G14" s="69">
        <f>1200/7</f>
        <v>171.42857142857142</v>
      </c>
      <c r="H14" s="7">
        <f>267*POWER(2,G14/1200)</f>
        <v>294.79190015090785</v>
      </c>
    </row>
    <row r="15" spans="1:9">
      <c r="A15" s="65" t="s">
        <v>183</v>
      </c>
      <c r="B15" s="65" t="s">
        <v>95</v>
      </c>
      <c r="C15" s="65">
        <v>327</v>
      </c>
      <c r="D15" s="69">
        <f t="shared" si="3"/>
        <v>178.29081749865483</v>
      </c>
      <c r="E15" s="7">
        <v>329.62755691287026</v>
      </c>
      <c r="F15" s="69">
        <f t="shared" si="2"/>
        <v>-13.855465631894145</v>
      </c>
      <c r="G15" s="69">
        <f t="shared" ref="G15:G16" si="4">1200/7</f>
        <v>171.42857142857142</v>
      </c>
      <c r="H15" s="7">
        <f>295*POWER(2,G15/1200)</f>
        <v>325.70640653377461</v>
      </c>
    </row>
    <row r="16" spans="1:9">
      <c r="A16" s="65" t="s">
        <v>184</v>
      </c>
      <c r="B16" s="65" t="s">
        <v>215</v>
      </c>
      <c r="C16" s="65">
        <v>358</v>
      </c>
      <c r="D16" s="69">
        <f t="shared" si="3"/>
        <v>156.80274211940872</v>
      </c>
      <c r="E16" s="7">
        <v>349.22823143300423</v>
      </c>
      <c r="F16" s="69">
        <f t="shared" si="2"/>
        <v>42.947276487514408</v>
      </c>
      <c r="G16" s="69">
        <f t="shared" si="4"/>
        <v>171.42857142857142</v>
      </c>
      <c r="H16" s="7">
        <f>327*POWER(2,G16/1200)</f>
        <v>361.03727097133662</v>
      </c>
    </row>
    <row r="17" spans="2:10">
      <c r="J17" s="38" t="s">
        <v>224</v>
      </c>
    </row>
    <row r="18" spans="2:10">
      <c r="D18" s="51"/>
    </row>
    <row r="19" spans="2:10">
      <c r="D19" s="38"/>
      <c r="E19" s="19"/>
    </row>
    <row r="20" spans="2:10">
      <c r="D20" s="38"/>
    </row>
    <row r="21" spans="2:10">
      <c r="B21" s="76" t="s">
        <v>228</v>
      </c>
      <c r="D21" s="38"/>
      <c r="E21" s="19"/>
    </row>
    <row r="22" spans="2:10">
      <c r="B22" s="38" t="s">
        <v>227</v>
      </c>
      <c r="D22" s="38"/>
      <c r="E22" s="19"/>
    </row>
    <row r="23" spans="2:10">
      <c r="B23" s="38" t="s">
        <v>225</v>
      </c>
      <c r="D23" s="38"/>
      <c r="E23" s="19"/>
    </row>
    <row r="24" spans="2:10">
      <c r="B24" s="38" t="s">
        <v>226</v>
      </c>
      <c r="D24" s="38"/>
      <c r="E24" s="19"/>
    </row>
  </sheetData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allgemein</vt:lpstr>
      <vt:lpstr>amadinda1</vt:lpstr>
      <vt:lpstr>amadinda2</vt:lpstr>
      <vt:lpstr>amadinda3</vt:lpstr>
      <vt:lpstr>amadidan12</vt:lpstr>
      <vt:lpstr>Ballaphon</vt:lpstr>
      <vt:lpstr>Mbum</vt:lpstr>
      <vt:lpstr>Mbira</vt:lpstr>
      <vt:lpstr>Mbira-Video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Martin Stroh</dc:creator>
  <cp:lastModifiedBy>Wolfgang Martin Stroh</cp:lastModifiedBy>
  <dcterms:created xsi:type="dcterms:W3CDTF">2021-01-12T12:30:26Z</dcterms:created>
  <dcterms:modified xsi:type="dcterms:W3CDTF">2021-06-27T08:45:17Z</dcterms:modified>
</cp:coreProperties>
</file>